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8760" tabRatio="354" activeTab="0"/>
  </bookViews>
  <sheets>
    <sheet name="PresupTotal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Titles" localSheetId="0">'PresupTotal'!$4:$5</definedName>
  </definedNames>
  <calcPr fullCalcOnLoad="1"/>
</workbook>
</file>

<file path=xl/comments1.xml><?xml version="1.0" encoding="utf-8"?>
<comments xmlns="http://schemas.openxmlformats.org/spreadsheetml/2006/main">
  <authors>
    <author>SalaInteligente</author>
  </authors>
  <commentList>
    <comment ref="J50" authorId="0">
      <text>
        <r>
          <rPr>
            <b/>
            <sz val="9"/>
            <rFont val="Tahoma"/>
            <family val="2"/>
          </rPr>
          <t>SalaInteligente:</t>
        </r>
        <r>
          <rPr>
            <sz val="9"/>
            <rFont val="Tahoma"/>
            <family val="2"/>
          </rPr>
          <t xml:space="preserve">
diferencia
</t>
        </r>
      </text>
    </comment>
    <comment ref="J88" authorId="0">
      <text>
        <r>
          <rPr>
            <b/>
            <sz val="9"/>
            <rFont val="Tahoma"/>
            <family val="2"/>
          </rPr>
          <t>SalaInteligente:</t>
        </r>
        <r>
          <rPr>
            <sz val="9"/>
            <rFont val="Tahoma"/>
            <family val="2"/>
          </rPr>
          <t xml:space="preserve">
diferencia
</t>
        </r>
      </text>
    </comment>
    <comment ref="J117" authorId="0">
      <text>
        <r>
          <rPr>
            <b/>
            <sz val="9"/>
            <rFont val="Tahoma"/>
            <family val="2"/>
          </rPr>
          <t>SalaInteligente:</t>
        </r>
        <r>
          <rPr>
            <sz val="9"/>
            <rFont val="Tahoma"/>
            <family val="2"/>
          </rPr>
          <t xml:space="preserve">
necesidad real
</t>
        </r>
      </text>
    </comment>
    <comment ref="J126" authorId="0">
      <text>
        <r>
          <rPr>
            <b/>
            <sz val="9"/>
            <rFont val="Tahoma"/>
            <family val="2"/>
          </rPr>
          <t>SalaInteligente:</t>
        </r>
        <r>
          <rPr>
            <sz val="9"/>
            <rFont val="Tahoma"/>
            <family val="2"/>
          </rPr>
          <t xml:space="preserve">
Ministro negocia
</t>
        </r>
      </text>
    </comment>
  </commentList>
</comments>
</file>

<file path=xl/comments4.xml><?xml version="1.0" encoding="utf-8"?>
<comments xmlns="http://schemas.openxmlformats.org/spreadsheetml/2006/main">
  <authors>
    <author>mag</author>
    <author>eugenmeono</author>
    <author>Grace</author>
  </authors>
  <commentList>
    <comment ref="C47" authorId="0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Sistema Eléctrico Central
</t>
        </r>
      </text>
    </comment>
    <comment ref="C49" authorId="0">
      <text>
        <r>
          <rPr>
            <b/>
            <sz val="9"/>
            <rFont val="Tahoma"/>
            <family val="2"/>
          </rPr>
          <t xml:space="preserve">mag:Consultoría Arquitectura Empresarial
</t>
        </r>
      </text>
    </comment>
    <comment ref="C94" authorId="1">
      <text>
        <r>
          <rPr>
            <b/>
            <sz val="9"/>
            <rFont val="Tahoma"/>
            <family val="2"/>
          </rPr>
          <t>eugenmeono:</t>
        </r>
        <r>
          <rPr>
            <sz val="9"/>
            <rFont val="Tahoma"/>
            <family val="2"/>
          </rPr>
          <t xml:space="preserve">
consultorio médico</t>
        </r>
      </text>
    </comment>
    <comment ref="C106" authorId="2">
      <text>
        <r>
          <rPr>
            <b/>
            <sz val="9"/>
            <rFont val="Tahoma"/>
            <family val="2"/>
          </rPr>
          <t>Grace:</t>
        </r>
        <r>
          <rPr>
            <sz val="9"/>
            <rFont val="Tahoma"/>
            <family val="2"/>
          </rPr>
          <t xml:space="preserve">
Intereses 2012-2013</t>
        </r>
      </text>
    </comment>
    <comment ref="I108" authorId="2">
      <text>
        <r>
          <rPr>
            <b/>
            <sz val="9"/>
            <rFont val="Tahoma"/>
            <family val="2"/>
          </rPr>
          <t>Grace:</t>
        </r>
        <r>
          <rPr>
            <sz val="9"/>
            <rFont val="Tahoma"/>
            <family val="2"/>
          </rPr>
          <t xml:space="preserve">
Molino de cacao</t>
        </r>
      </text>
    </comment>
    <comment ref="C113" authorId="0">
      <text>
        <r>
          <rPr>
            <b/>
            <sz val="9"/>
            <rFont val="Tahoma"/>
            <family val="2"/>
          </rPr>
          <t>mag:</t>
        </r>
        <r>
          <rPr>
            <sz val="9"/>
            <rFont val="Tahoma"/>
            <family val="2"/>
          </rPr>
          <t xml:space="preserve">
GPS 
</t>
        </r>
      </text>
    </comment>
  </commentList>
</comments>
</file>

<file path=xl/sharedStrings.xml><?xml version="1.0" encoding="utf-8"?>
<sst xmlns="http://schemas.openxmlformats.org/spreadsheetml/2006/main" count="871" uniqueCount="469">
  <si>
    <t>SUB.</t>
  </si>
  <si>
    <t>Sueldos para cargos fijos</t>
  </si>
  <si>
    <t>Salario escolar</t>
  </si>
  <si>
    <t>Transporte dentro del país</t>
  </si>
  <si>
    <t>Seguros</t>
  </si>
  <si>
    <t>MATERIALES Y SUMINISTROS</t>
  </si>
  <si>
    <t>Otros productos químicos</t>
  </si>
  <si>
    <t>Utiles y materiales de limpieza</t>
  </si>
  <si>
    <t>Prestaciones legales</t>
  </si>
  <si>
    <t>TOTAL</t>
  </si>
  <si>
    <t>MINISTERIO DE AGRICULTURA Y GANADERIA</t>
  </si>
  <si>
    <t xml:space="preserve"> </t>
  </si>
  <si>
    <t>TRANSFERENCIAS CORRIENTES</t>
  </si>
  <si>
    <t>REMUNERACIONES</t>
  </si>
  <si>
    <t>Remuneraciones eventuales</t>
  </si>
  <si>
    <t>Incentivos salariales</t>
  </si>
  <si>
    <t>Remuneraciones básicas</t>
  </si>
  <si>
    <t>Tiempo extraordinario</t>
  </si>
  <si>
    <t>Retribución por años servidos</t>
  </si>
  <si>
    <t>Restricción al ejercicio liberal de la profesión</t>
  </si>
  <si>
    <t>Decimotercer mes</t>
  </si>
  <si>
    <t>Otros incentivos salariales</t>
  </si>
  <si>
    <t>Contribuc. Patronal al Seguro de Salud C.C.S.S.</t>
  </si>
  <si>
    <t>Contribuc. Patronal Banco Popular y Desarrollo Comunal</t>
  </si>
  <si>
    <t>Contribuciones Pat. Fondo Pensiones y otros Fondos Cap.</t>
  </si>
  <si>
    <t>Contribuc. Patronal al Seguro de Pensiones C.C.S.S.</t>
  </si>
  <si>
    <t>Aporte Patronal Regimen Obligatorio Pensiones Comp.</t>
  </si>
  <si>
    <t>Aporte Patronal Fondo Capitalización Laboral</t>
  </si>
  <si>
    <t>SERVICIOS</t>
  </si>
  <si>
    <t>Alquiler de edificios, locales y terrenos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</si>
  <si>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</si>
  <si>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</si>
  <si>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</si>
  <si>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</si>
  <si>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</si>
  <si>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 comerciales y financieros</t>
  </si>
  <si>
    <t>Publicidad y propaganda</t>
  </si>
  <si>
    <t>Gastos de viaje y de transporte</t>
  </si>
  <si>
    <t>Viáticos dentro del país</t>
  </si>
  <si>
    <t>Transporte en el exterior</t>
  </si>
  <si>
    <t>Viáticos en el exterior</t>
  </si>
  <si>
    <t>Seguros, reaseguros y otras obligaciones</t>
  </si>
  <si>
    <t>Mantenimiento y reparación</t>
  </si>
  <si>
    <t>0.01</t>
  </si>
  <si>
    <t>0.01.01</t>
  </si>
  <si>
    <t>0.02</t>
  </si>
  <si>
    <t>0.02.01</t>
  </si>
  <si>
    <t>0.03</t>
  </si>
  <si>
    <t>0.03.01</t>
  </si>
  <si>
    <t>0.03.02</t>
  </si>
  <si>
    <t>0.03.03</t>
  </si>
  <si>
    <t>0.03.04</t>
  </si>
  <si>
    <t>0.03.99</t>
  </si>
  <si>
    <t>0.04</t>
  </si>
  <si>
    <t>0.04.01</t>
  </si>
  <si>
    <t>0.04.05</t>
  </si>
  <si>
    <t>0.05</t>
  </si>
  <si>
    <t>0.05.01</t>
  </si>
  <si>
    <t>0.05.02</t>
  </si>
  <si>
    <t>0.05.03</t>
  </si>
  <si>
    <t>1.02.01</t>
  </si>
  <si>
    <t>1.02.02</t>
  </si>
  <si>
    <t>1.02.03</t>
  </si>
  <si>
    <t>1.02.04</t>
  </si>
  <si>
    <t>1.02.99</t>
  </si>
  <si>
    <t>1.03.02</t>
  </si>
  <si>
    <t>1.03.03</t>
  </si>
  <si>
    <t>1.05.01</t>
  </si>
  <si>
    <t>1.05.02</t>
  </si>
  <si>
    <t>1.05.03</t>
  </si>
  <si>
    <t>1.05.04</t>
  </si>
  <si>
    <t>1.08.01</t>
  </si>
  <si>
    <t>1.08.05</t>
  </si>
  <si>
    <t>1.08.06</t>
  </si>
  <si>
    <t>1.08.07</t>
  </si>
  <si>
    <t>1.08.08</t>
  </si>
  <si>
    <t>Mantenimiento de edificios y locales</t>
  </si>
  <si>
    <t>Mantenimiento y reparación de equipo de transporte</t>
  </si>
  <si>
    <t>Mantenimiento y reparación de equipo de comunicación</t>
  </si>
  <si>
    <t>Mantenimiento y reparación de equipo y mob. Oficina</t>
  </si>
  <si>
    <t>Mantenimiento y reparación de equipo cómputo y sist.</t>
  </si>
  <si>
    <t>Mantenimiento y reparación de otros equipos</t>
  </si>
  <si>
    <t>1.08.99</t>
  </si>
  <si>
    <t>Contribuciones Pat. al Desarrollo y la Seguridad Social</t>
  </si>
  <si>
    <t>1.01.01</t>
  </si>
  <si>
    <t>Alquileres</t>
  </si>
  <si>
    <t>Servicios diversos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</si>
  <si>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</si>
  <si>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</si>
  <si>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</si>
  <si>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</si>
  <si>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</si>
  <si>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</si>
  <si>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</si>
  <si>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</si>
  <si>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Alimentos y productos agropecuarios</t>
  </si>
  <si>
    <t>2.02.03</t>
  </si>
  <si>
    <t>Alimentos y bebidas</t>
  </si>
  <si>
    <t>Materiales y productos uso construcción y mantenim.</t>
  </si>
  <si>
    <t>2.03.01</t>
  </si>
  <si>
    <t>Materiales y productos metálicos</t>
  </si>
  <si>
    <t>2.03.02</t>
  </si>
  <si>
    <t>Materiales y productos minerales y asfálticos</t>
  </si>
  <si>
    <t>2.03.04</t>
  </si>
  <si>
    <t>Materiales y productos eléctricos, telefónicos y de cómputo</t>
  </si>
  <si>
    <t>2.03.06</t>
  </si>
  <si>
    <t>Materiales y productos de plástico</t>
  </si>
  <si>
    <t>Herramientas, repuestos y accesorios</t>
  </si>
  <si>
    <t>2.04.01</t>
  </si>
  <si>
    <t>Herramientas e instrumentos</t>
  </si>
  <si>
    <t>2.04.02</t>
  </si>
  <si>
    <t>Repuestos y accesorios</t>
  </si>
  <si>
    <t>Utiles, materiales y suministros diversos</t>
  </si>
  <si>
    <t>Utiles y materiales de oficina y cómputo</t>
  </si>
  <si>
    <t>2.99.01</t>
  </si>
  <si>
    <t>2.99.02</t>
  </si>
  <si>
    <t>2.99.03</t>
  </si>
  <si>
    <t>Productos de papel, cartón e impresos</t>
  </si>
  <si>
    <t>2.99.04</t>
  </si>
  <si>
    <t>Textiles y vestuario</t>
  </si>
  <si>
    <t>2.99.05</t>
  </si>
  <si>
    <t>2.99.07</t>
  </si>
  <si>
    <t>2.99.99</t>
  </si>
  <si>
    <t>Otros útiles y materiales específicos</t>
  </si>
  <si>
    <t>Utiles y materiales de cocina y comedor</t>
  </si>
  <si>
    <t>BIENES DURADEROS</t>
  </si>
  <si>
    <t>5.01.03</t>
  </si>
  <si>
    <t>Equipo de comunicación</t>
  </si>
  <si>
    <t>5.01.04</t>
  </si>
  <si>
    <t>Equipo y mobiliario de oficina</t>
  </si>
  <si>
    <t>5.01.99</t>
  </si>
  <si>
    <t>Maquinaria y equipo diverso</t>
  </si>
  <si>
    <t>6.01.03</t>
  </si>
  <si>
    <t>Transferencias corrientes al Sector Público</t>
  </si>
  <si>
    <t>Transferencias corrientes a Instituc. Descent. no Empres.</t>
  </si>
  <si>
    <t>Transferencias corrientes a personas</t>
  </si>
  <si>
    <t>6.02.01</t>
  </si>
  <si>
    <t>Becas a funcionarios</t>
  </si>
  <si>
    <t>Prestaciones</t>
  </si>
  <si>
    <t>6.03.01</t>
  </si>
  <si>
    <t>6.07</t>
  </si>
  <si>
    <t>Transf. corrientes al sector externo</t>
  </si>
  <si>
    <t>TRANSFERENCIAS DE CAPITAL</t>
  </si>
  <si>
    <t>AMORTIZACION</t>
  </si>
  <si>
    <t>Amortización de préstamos del Gobierno Central</t>
  </si>
  <si>
    <t>6.03</t>
  </si>
  <si>
    <t>6.02</t>
  </si>
  <si>
    <t>6.01</t>
  </si>
  <si>
    <t>1.01</t>
  </si>
  <si>
    <t>1.02</t>
  </si>
  <si>
    <t>1.03</t>
  </si>
  <si>
    <t>1.05</t>
  </si>
  <si>
    <t>Impresión, encuadernación y otros</t>
  </si>
  <si>
    <t>1.06</t>
  </si>
  <si>
    <t>1.08</t>
  </si>
  <si>
    <t>1.99</t>
  </si>
  <si>
    <t>2.01</t>
  </si>
  <si>
    <t>2.02</t>
  </si>
  <si>
    <t>2.03</t>
  </si>
  <si>
    <t>2.04</t>
  </si>
  <si>
    <t>2.99</t>
  </si>
  <si>
    <t>1.03.04</t>
  </si>
  <si>
    <t>Transporte de bienes</t>
  </si>
  <si>
    <t>Servicios de Gestión y Apoyo</t>
  </si>
  <si>
    <t>1.04.06</t>
  </si>
  <si>
    <t>Servicios generales</t>
  </si>
  <si>
    <t>1.04.99</t>
  </si>
  <si>
    <t>Otros servicios de gestión y apoyo</t>
  </si>
  <si>
    <t>0.05.05</t>
  </si>
  <si>
    <t>Contribución patronal fondos administrados entes privados</t>
  </si>
  <si>
    <t>1.01.02</t>
  </si>
  <si>
    <t>Alquiler de maquinaria, equipo y mobiliario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</si>
  <si>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</si>
  <si>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</si>
  <si>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</si>
  <si>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</si>
  <si>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</si>
  <si>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</si>
  <si>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1.06.01</t>
  </si>
  <si>
    <t>1.08.03</t>
  </si>
  <si>
    <t>2.99.06</t>
  </si>
  <si>
    <t>Utiles y materiales de resguardo y seguridad</t>
  </si>
  <si>
    <t>Servicios Públicos</t>
  </si>
  <si>
    <t>1.03.01</t>
  </si>
  <si>
    <t>Información</t>
  </si>
  <si>
    <t>6.06</t>
  </si>
  <si>
    <t>Otras transferencias corrientes al Sector Privado</t>
  </si>
  <si>
    <t>6.06.01</t>
  </si>
  <si>
    <t>Indemnizaciones</t>
  </si>
  <si>
    <t>6.03.99</t>
  </si>
  <si>
    <t>Otras prestaciones a terceras personas</t>
  </si>
  <si>
    <t>1.04.04</t>
  </si>
  <si>
    <t>Servicios en ciencias económicas y sociales</t>
  </si>
  <si>
    <t>1.04.05</t>
  </si>
  <si>
    <t>Servicios de desarrollo de sistemas informáticos</t>
  </si>
  <si>
    <t>6.01.02</t>
  </si>
  <si>
    <t>Transferencias corrientes a Organos Desconcentrados</t>
  </si>
  <si>
    <t>8.02.02</t>
  </si>
  <si>
    <t>0.02.02</t>
  </si>
  <si>
    <t>6.07.01.335</t>
  </si>
  <si>
    <t>Organización de las Naciones Unidas para la Agricultura y Alimentación (FAO)</t>
  </si>
  <si>
    <t>6.07.01.211</t>
  </si>
  <si>
    <t>Organización Latinoamericana de Desarrollo Pesquero (OLDEPESCA)</t>
  </si>
  <si>
    <t>6.07.01.400</t>
  </si>
  <si>
    <t>Centro Agronómico Tropical de Investigación y Enseñanza (CATIE)</t>
  </si>
  <si>
    <t>6.07.01.420</t>
  </si>
  <si>
    <t>6.07.01.478</t>
  </si>
  <si>
    <t>Instituto Interamericano de Cooperación para la Agricultura (IICA)</t>
  </si>
  <si>
    <t>7.03.02.280</t>
  </si>
  <si>
    <t>FITTACORI</t>
  </si>
  <si>
    <t>Contribución Estatal Seguro de Pensiones</t>
  </si>
  <si>
    <t>Contribución Estatal Seguro de Salud</t>
  </si>
  <si>
    <t>6.01.03.225</t>
  </si>
  <si>
    <t>Instituto Costarricense de Pesca y Acuacultura (INCOPESCA)</t>
  </si>
  <si>
    <t>6.01.03.228</t>
  </si>
  <si>
    <t>Servicio Nacional de Aguas Subterráneas, Riego y Avenamiento (SENARA)</t>
  </si>
  <si>
    <t>Construcciones, adiciones y mejoras</t>
  </si>
  <si>
    <t>1.01.04</t>
  </si>
  <si>
    <t>Alquiler y derechos de telecomunicaciones</t>
  </si>
  <si>
    <t>1.04.03</t>
  </si>
  <si>
    <t>Servicios de ingeniería</t>
  </si>
  <si>
    <t>1.99.01</t>
  </si>
  <si>
    <t>Servicios de regulación</t>
  </si>
  <si>
    <t>1.99.05</t>
  </si>
  <si>
    <t>Deducibles</t>
  </si>
  <si>
    <t>6.01.02.203</t>
  </si>
  <si>
    <t>INTA</t>
  </si>
  <si>
    <t>6.01.02.204</t>
  </si>
  <si>
    <t>6.01.02.205</t>
  </si>
  <si>
    <t>Servicio Fitosanitario del Estado</t>
  </si>
  <si>
    <t>Servicio Nacional de Salud Animal</t>
  </si>
  <si>
    <t>6.01.03.200</t>
  </si>
  <si>
    <t>6.01.03.202</t>
  </si>
  <si>
    <t>7.03.01.300</t>
  </si>
  <si>
    <t>6.01.02.206</t>
  </si>
  <si>
    <t>Oficina Nacional de Semillas (ONS)</t>
  </si>
  <si>
    <t>7.03.01.310</t>
  </si>
  <si>
    <t>5.01.01</t>
  </si>
  <si>
    <t>Maquinaria y equipo para la producción</t>
  </si>
  <si>
    <t>1.03.06</t>
  </si>
  <si>
    <t>Comisiones y gastos por servicios financieros y comerciales</t>
  </si>
  <si>
    <t>Recargo de funciones</t>
  </si>
  <si>
    <t>5.02.02</t>
  </si>
  <si>
    <t>Vías de comunicación terrestre</t>
  </si>
  <si>
    <t>Intereses moratorios y multas</t>
  </si>
  <si>
    <t>1.99.02</t>
  </si>
  <si>
    <t>Consejo Agropecuario Centroamericano (CORECA)</t>
  </si>
  <si>
    <t>6.01.02.280</t>
  </si>
  <si>
    <t>7.01.03.200</t>
  </si>
  <si>
    <t>Instituto del Café de Costa Rica (ICAFE)</t>
  </si>
  <si>
    <t>1.01.03</t>
  </si>
  <si>
    <t>Alquiler de equipo de computo</t>
  </si>
  <si>
    <t>EXTRALIMITE</t>
  </si>
  <si>
    <t>6.01.03.209</t>
  </si>
  <si>
    <t>Mantenimiento de instalaciones y otras obras</t>
  </si>
  <si>
    <t>7.03.01.205</t>
  </si>
  <si>
    <t>INTERESES Y COMISIONES</t>
  </si>
  <si>
    <t>3.02.02</t>
  </si>
  <si>
    <t>Intereses sobre préstamos de órganos desconcentrados</t>
  </si>
  <si>
    <t>6.07.01.212</t>
  </si>
  <si>
    <t>Secretaría General Iberoamericana</t>
  </si>
  <si>
    <t>Utiles y materiales médicos, hospitalarios e investigación</t>
  </si>
  <si>
    <t>Universidad de Costa Rica - Sede Regional Limón</t>
  </si>
  <si>
    <t>2.02.02</t>
  </si>
  <si>
    <t>Productos agroforestales</t>
  </si>
  <si>
    <t>2.03.03</t>
  </si>
  <si>
    <t>Maderas y sus derivados</t>
  </si>
  <si>
    <t>2.03.05</t>
  </si>
  <si>
    <t>Materiales y productos de vidrio</t>
  </si>
  <si>
    <t>2.03.99</t>
  </si>
  <si>
    <t>Otros materiales y productos de uso en la construcción</t>
  </si>
  <si>
    <t>5.01.02</t>
  </si>
  <si>
    <t>Equipo de transporte</t>
  </si>
  <si>
    <t>5.01.05</t>
  </si>
  <si>
    <t>Equipo y programas de cómputo</t>
  </si>
  <si>
    <t>Consejo Nacional de Clubes 4-S</t>
  </si>
  <si>
    <t>1.06.02</t>
  </si>
  <si>
    <t>Reaseguros</t>
  </si>
  <si>
    <t>1.06.03</t>
  </si>
  <si>
    <t>Obligaciones por contratos de seguros</t>
  </si>
  <si>
    <t xml:space="preserve">la competitividad del mediano y pequeño productor. </t>
  </si>
  <si>
    <t>PROPUESTA</t>
  </si>
  <si>
    <t>7.02.01.200</t>
  </si>
  <si>
    <t>RBA, cambio climático</t>
  </si>
  <si>
    <t>Maquinaria Equipo y mobiliario</t>
  </si>
  <si>
    <t>Programa de inversión y desarrollo tecnológico y el Programa para</t>
  </si>
  <si>
    <t>ANTEPROYECTO PRESUPUESTO ORDINARIO 2015</t>
  </si>
  <si>
    <t>5.01.06</t>
  </si>
  <si>
    <t>Equipo sanitario de laboratorio e investigacion</t>
  </si>
  <si>
    <t>5.01.07</t>
  </si>
  <si>
    <t>Equipo y mobiliario educacional</t>
  </si>
  <si>
    <t>5.01</t>
  </si>
  <si>
    <t>6.07.01.479</t>
  </si>
  <si>
    <t>Federación Latinoamericana de Lechería (FEPALE)</t>
  </si>
  <si>
    <t>1.08.04</t>
  </si>
  <si>
    <t>Mantenimiento y reparación de maquinaria equipo prod.</t>
  </si>
  <si>
    <t>LIMITE</t>
  </si>
  <si>
    <t>5.02</t>
  </si>
  <si>
    <t>1.03.07</t>
  </si>
  <si>
    <t>Servicios de transferencia electrónica información</t>
  </si>
  <si>
    <t>Federación Reg. Centros Agrícolas Cant. Pacífico Sur</t>
  </si>
  <si>
    <t>Federación Reg. Centros Agrícolas Cant. Huétar Atlántica</t>
  </si>
  <si>
    <t>PROGRAMA</t>
  </si>
  <si>
    <t>ANTEPROYECTO</t>
  </si>
  <si>
    <t>REBAJA</t>
  </si>
  <si>
    <t>185 CUENCA BINACIONAL RIO SIXAOLA</t>
  </si>
  <si>
    <t xml:space="preserve">175 DIRECCION SUPERIOR OPERACIONES </t>
  </si>
  <si>
    <t>REGIONALES Y EXTENSION AGROP.</t>
  </si>
  <si>
    <t xml:space="preserve">170 SECRETARIA EJECUTIVA SECTORIAL </t>
  </si>
  <si>
    <t>AGROPECUARIA (SEPSA)</t>
  </si>
  <si>
    <t>LIMITE PRESUPUESTARIO APROBADO 2015</t>
  </si>
  <si>
    <t>169  ACTIVIDADES CENTRALES</t>
  </si>
  <si>
    <t>Transferencia ICAFE - Renovación Cafetalera</t>
  </si>
  <si>
    <t>Banco de Proyectos</t>
  </si>
  <si>
    <t xml:space="preserve">PROGRAMA 169 </t>
  </si>
  <si>
    <t>PROGRAMA 175</t>
  </si>
  <si>
    <t>TOTAL REBAJA</t>
  </si>
  <si>
    <t>PROGRAMA 170</t>
  </si>
  <si>
    <t>1.05.02 Viáticos dentro del país</t>
  </si>
  <si>
    <t>1.07.02Actividades protocolarias y sociales</t>
  </si>
  <si>
    <t>1.08.05Mantenimiento y reparación de equipo de transporte</t>
  </si>
  <si>
    <t>2.01.02Combustibles y lubricantes</t>
  </si>
  <si>
    <t>5.01.04Equipo y programas de cómputo</t>
  </si>
  <si>
    <t>5.01.04 Equipo y mobiliario de oficina</t>
  </si>
  <si>
    <t>PROGRAMA 185</t>
  </si>
  <si>
    <t>1.03.03  Impresión, encuadernación y otros</t>
  </si>
  <si>
    <t>1.04.02 Servicios Jurídicos</t>
  </si>
  <si>
    <t>1.04.04 Servicios en ciencias económicas y sociales</t>
  </si>
  <si>
    <t>1.04.03 Servicios de ingeniería</t>
  </si>
  <si>
    <t>1.05.02  Viáticos dentro del país</t>
  </si>
  <si>
    <t>1.07.02  Actividades protocolarias y sociales</t>
  </si>
  <si>
    <t>1.08.01  Mantenimiento de edificios y locales</t>
  </si>
  <si>
    <t>1.08.06Mantenimiento y reparación de equipo de comunicación</t>
  </si>
  <si>
    <t>1.08.07Mantenimiento y reparación de equipo y mob. Oficina</t>
  </si>
  <si>
    <t>2.01.04Tintas, pinturas y diluyentes</t>
  </si>
  <si>
    <t>2.04.02Repuestos y accesorios</t>
  </si>
  <si>
    <t>2.99.01Utiles y materiales de oficina y cómputo</t>
  </si>
  <si>
    <t>5.01.03Equipo de comunicación</t>
  </si>
  <si>
    <t>5.01.04Equipo y mobiliario de oficina</t>
  </si>
  <si>
    <t>5.01.05Equipo y programas de cómputo</t>
  </si>
  <si>
    <t>Servicios Generales</t>
  </si>
  <si>
    <t>0.02.01 Tiempo extraordinario</t>
  </si>
  <si>
    <t>0.02.02 Recargo de funciones</t>
  </si>
  <si>
    <t>1.01.01 Alquiler de edificios, locales y terrenos</t>
  </si>
  <si>
    <t>1.01.03 Alquiler de equipo de computo</t>
  </si>
  <si>
    <t>1.02.04  Servicio de telecomunicaciones</t>
  </si>
  <si>
    <t>1.03.02 Publicidad y propaganda</t>
  </si>
  <si>
    <t>1.03.03 Impresión, encuadernación y otros</t>
  </si>
  <si>
    <t>1.04.05 Servicios de desarrollo de sistemas informáticos</t>
  </si>
  <si>
    <t>1.04.06 Servicios generales</t>
  </si>
  <si>
    <t>1.05.03 Transporte en el exterior</t>
  </si>
  <si>
    <t>1.05.04 Viáticos en el exterior</t>
  </si>
  <si>
    <t>1.07.01 Actividades de capacitación</t>
  </si>
  <si>
    <t>1.07.02 Actividades protocolarias y sociales</t>
  </si>
  <si>
    <t>1.08.01 Mantenimiento de edificios y locales</t>
  </si>
  <si>
    <t>1.08.03 Mantenimiento de instalaciones y otras obras</t>
  </si>
  <si>
    <t>1.08.04 Mantenimiento y reparación de maquinaria equipo prod.</t>
  </si>
  <si>
    <t>1.08.06 Mantenimiento y reparación de equipo de comunicación</t>
  </si>
  <si>
    <t>1.08.07 Mantenimiento y reparación de equipo y mob. Oficina</t>
  </si>
  <si>
    <t>1.08.08 Mantenimiento y reparación de equipo cómputo y sist.</t>
  </si>
  <si>
    <t>1.08.99 Mantenimiento y reparación de otros equipos</t>
  </si>
  <si>
    <t>1.99.01 Servicios de regulación</t>
  </si>
  <si>
    <t>1.99.05 Deducibles</t>
  </si>
  <si>
    <t>2.01.04 Tintas, pinturas y diluyentes</t>
  </si>
  <si>
    <t>2.03.01 Materiales y productos metálicos</t>
  </si>
  <si>
    <t>2.03.02 Materiales y productos minerales y asfálticos</t>
  </si>
  <si>
    <t>2.03.04 Materiales y productos eléctricos, telefónicos y de cómputo</t>
  </si>
  <si>
    <t>2.03.05 Materiales y productos de vidrio</t>
  </si>
  <si>
    <t>2.03.06 Materiales y productos de plástico</t>
  </si>
  <si>
    <t>2.03.99 Otros materiales y productos de uso en la construcción</t>
  </si>
  <si>
    <t>2.99.01 Utiles y materiales de oficina y cómputo</t>
  </si>
  <si>
    <t>2.99.03 Productos de papel, cartón e impresos</t>
  </si>
  <si>
    <t>2.99.04 Textiles y vestuario</t>
  </si>
  <si>
    <t>2.99.06 Utiles y materiales de resguardo y seguridad</t>
  </si>
  <si>
    <t>2.99.99 Otros útiles y materiales específicos</t>
  </si>
  <si>
    <t>3.02.02 Intereses sobre préstamos de órganos desconcentrados</t>
  </si>
  <si>
    <t>5.01.03 Equipo de comunicación</t>
  </si>
  <si>
    <t>6.07.01.212 Secretaría General Iberoamericana</t>
  </si>
  <si>
    <t>6.07.01.211 Organización Latinoamericana de Desarrollo Pesquero (OLDEPESCA)</t>
  </si>
  <si>
    <t>6.07.01.335 Organización de las Naciones Unidas para la Agricultura y Alimentación (FAO)</t>
  </si>
  <si>
    <t>6.07.01.400 Centro Agronómico Tropical de Investigación y Enseñanza (CATIE)</t>
  </si>
  <si>
    <t>6.07.01.420 Consejo Agropecuario Centroamericano (CORECA)</t>
  </si>
  <si>
    <t>6.07.01.478 Instituto Interamericano de Cooperación para la Agricultura (IICA)</t>
  </si>
  <si>
    <t>6.07.01.479 Federación Latinoamericana de Lechería (FEPALE)</t>
  </si>
  <si>
    <t>8.02.02 Amortización de préstamos del Gobierno Central</t>
  </si>
  <si>
    <t>PRESUPUESTO 2014</t>
  </si>
  <si>
    <t>LEY No. 9193</t>
  </si>
  <si>
    <t>1.04</t>
  </si>
  <si>
    <t>6.01.03.280</t>
  </si>
  <si>
    <t>PROGRAMA 169 - ACTIVIDADES CENTRALES DEL MINISTERIO DE AGRICULTURA Y GANADERÍA</t>
  </si>
  <si>
    <t>6.01.05 Consejo Nacional de Producción - Gastos operativos</t>
  </si>
  <si>
    <t>TOTAL DE RECURSOS ADICIONALES REQUERIDOS</t>
  </si>
  <si>
    <t>PROGRAMA 170 - SECRETARIA EJECUTIVA SECTORIAL AGROPECUARIA SEPSA</t>
  </si>
  <si>
    <t>1.08.05 Mantenimiento y reparación de equipo de transporte</t>
  </si>
  <si>
    <t>2.01.02 Combustibles y lubricantes</t>
  </si>
  <si>
    <t>5.01.04 Equipo y programas de cómputo</t>
  </si>
  <si>
    <t>PROGRAMA 175 - DIRECCION SUPERIOR DE OPERACIONES REGIONALES Y EXTENSIÓN AGROPECUARIA</t>
  </si>
  <si>
    <t>Operativo Programa</t>
  </si>
  <si>
    <t>1.04.06 Servicios Generales</t>
  </si>
  <si>
    <t>2.04.01 Herramientas e instrumentos</t>
  </si>
  <si>
    <t>7.01.03 Transferencia ICAFE - Renovación Cafetalera</t>
  </si>
  <si>
    <t>7.03.02 FITTACORI</t>
  </si>
  <si>
    <t>7.03.01 Banco de Proyectos de inversión y desarrollo tecnológico y competitividad del 
             mediano y pequeño productor</t>
  </si>
  <si>
    <t>PROGRAMA 185 - CUENCA BINACIONAL RIO SIXAOLA</t>
  </si>
  <si>
    <t>5.01.05 Equipo y programas de cómputo</t>
  </si>
  <si>
    <t>RESUMEN: PRESUPUESTO 2014, PROPUESTA PARA EL 2015 Y RECURSOS ADICIONALES PARA EL 2015</t>
  </si>
  <si>
    <t>Programa</t>
  </si>
  <si>
    <t>Presupuesto Aprobado 2014</t>
  </si>
  <si>
    <t>Propuesta de Presupuesto 2015</t>
  </si>
  <si>
    <t>Recursos Adicionales 2015</t>
  </si>
  <si>
    <t>Total 2015</t>
  </si>
  <si>
    <t>169 - ACTIVIDADES CENTRALES</t>
  </si>
  <si>
    <t xml:space="preserve">         0 - Remuneraciones</t>
  </si>
  <si>
    <t xml:space="preserve">         1 - Servicios</t>
  </si>
  <si>
    <t xml:space="preserve">         2 - Materiales y suministros</t>
  </si>
  <si>
    <t xml:space="preserve">         3 - Intereses y comisiones</t>
  </si>
  <si>
    <t xml:space="preserve">         5 - Bienes duraderos</t>
  </si>
  <si>
    <t xml:space="preserve">         6 - Transferencias corrientes</t>
  </si>
  <si>
    <t xml:space="preserve">         7 - Transferencias de capital</t>
  </si>
  <si>
    <t xml:space="preserve">         8 - Amortización</t>
  </si>
  <si>
    <t>170 - SECRETARIA EJECUTIVA SECTORIAL 
          AGROPECUARIA (SEPSA)</t>
  </si>
  <si>
    <t>175 - DIRECCION SUPERIOR OPERACIONES 
         REGIONALES Y EXTENSIÓN AGROP.</t>
  </si>
  <si>
    <t>185 - CUENCA BINACIONAL RIO SIXAOLA</t>
  </si>
  <si>
    <t>PRESUPUESTO ORDINARIO 2014</t>
  </si>
  <si>
    <t>2DA PROPUESTA</t>
  </si>
  <si>
    <t>MAG</t>
  </si>
  <si>
    <t>1.04.02</t>
  </si>
  <si>
    <t>Servicios Jurídicos</t>
  </si>
  <si>
    <t>5.02.01</t>
  </si>
  <si>
    <t xml:space="preserve">Edificios  </t>
  </si>
  <si>
    <t>5.02.99</t>
  </si>
  <si>
    <t>Otras construcciones, adiciones y mejoras</t>
  </si>
  <si>
    <t>5.03.02</t>
  </si>
  <si>
    <t>Edificios preexistentes</t>
  </si>
  <si>
    <t>6.01.03.203</t>
  </si>
  <si>
    <t>Universidad de Costa Rica - sede regional Limón</t>
  </si>
  <si>
    <t>6.01.03.204</t>
  </si>
  <si>
    <t>6.01.04</t>
  </si>
  <si>
    <t>Transferencias corrientes a Gobiernos Locales</t>
  </si>
  <si>
    <t>6.01.01</t>
  </si>
  <si>
    <t>Municipalidad de Talamanca</t>
  </si>
  <si>
    <t>Programa de inversión y desarrollo tecnológico, Cambio Climático y Programa para</t>
  </si>
  <si>
    <t>7.03.01.286</t>
  </si>
  <si>
    <t>UCAHNEO</t>
  </si>
  <si>
    <t>Federación Reg. Centros Agrícolas Pacífico Sur</t>
  </si>
  <si>
    <t>Federación Reg. Centros Agricolas Huetar Atlántica</t>
  </si>
  <si>
    <t>Federación reg. Centros agrícolas cant. Pacífico Sur</t>
  </si>
  <si>
    <t>Federación reg. Centros agrícolas cant. Huétar Atlántica</t>
  </si>
  <si>
    <t>CUENTAS ESPECIALES</t>
  </si>
  <si>
    <t>9.02.01</t>
  </si>
  <si>
    <t>Sumas sin asignación presupuestaria</t>
  </si>
  <si>
    <t>D.F.C./03-12-13</t>
  </si>
  <si>
    <t>INCREMENTO 4%</t>
  </si>
  <si>
    <t>Intereses  sobre préstamos de órganos desconcentrados</t>
  </si>
  <si>
    <t>Edificios</t>
  </si>
  <si>
    <t>6.01.05</t>
  </si>
  <si>
    <t>Transferencias corrientes a empresas públicas no financieras</t>
  </si>
  <si>
    <t>6.01.05.270</t>
  </si>
  <si>
    <t>Consejo Nacional de Producción</t>
  </si>
  <si>
    <t>Transferencias corrientes al Sector Externo</t>
  </si>
  <si>
    <t>Servicio Nacional de Aguas Subterráneas, Riego y Avenamiento</t>
  </si>
  <si>
    <t xml:space="preserve"> PRESUPUESTO ORDINARIO 2015</t>
  </si>
  <si>
    <t>D.F.C./05.12.14</t>
  </si>
  <si>
    <t>7.01</t>
  </si>
  <si>
    <t>Transferencias de capital al Sector Púbico</t>
  </si>
  <si>
    <t>7.02</t>
  </si>
  <si>
    <t>Transferencias de capital a personas</t>
  </si>
  <si>
    <t>7.03</t>
  </si>
  <si>
    <t>Transferencias de capital a entidades privadas sin fines lucro</t>
  </si>
</sst>
</file>

<file path=xl/styles.xml><?xml version="1.0" encoding="utf-8"?>
<styleSheet xmlns="http://schemas.openxmlformats.org/spreadsheetml/2006/main">
  <numFmts count="3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₡&quot;\ #,##0_);\(&quot;₡&quot;\ #,##0\)"/>
    <numFmt numFmtId="185" formatCode="&quot;₡&quot;\ #,##0_);[Red]\(&quot;₡&quot;\ #,##0\)"/>
    <numFmt numFmtId="186" formatCode="&quot;₡&quot;\ #,##0.00_);\(&quot;₡&quot;\ #,##0.00\)"/>
    <numFmt numFmtId="187" formatCode="&quot;₡&quot;\ #,##0.00_);[Red]\(&quot;₡&quot;\ #,##0.00\)"/>
    <numFmt numFmtId="188" formatCode="_(&quot;₡&quot;\ * #,##0_);_(&quot;₡&quot;\ * \(#,##0\);_(&quot;₡&quot;\ * &quot;-&quot;_);_(@_)"/>
    <numFmt numFmtId="189" formatCode="_(&quot;₡&quot;\ * #,##0.00_);_(&quot;₡&quot;\ * \(#,##0.00\);_(&quot;₡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0.0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5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37">
    <xf numFmtId="0" fontId="0" fillId="0" borderId="0" xfId="0" applyAlignment="1">
      <alignment/>
    </xf>
    <xf numFmtId="171" fontId="0" fillId="0" borderId="0" xfId="49" applyFont="1" applyAlignment="1">
      <alignment/>
    </xf>
    <xf numFmtId="0" fontId="2" fillId="0" borderId="0" xfId="0" applyFont="1" applyAlignment="1">
      <alignment/>
    </xf>
    <xf numFmtId="171" fontId="2" fillId="0" borderId="0" xfId="49" applyFont="1" applyAlignment="1">
      <alignment/>
    </xf>
    <xf numFmtId="0" fontId="3" fillId="0" borderId="0" xfId="0" applyFont="1" applyAlignment="1">
      <alignment/>
    </xf>
    <xf numFmtId="171" fontId="3" fillId="0" borderId="0" xfId="49" applyFont="1" applyAlignment="1">
      <alignment/>
    </xf>
    <xf numFmtId="0" fontId="0" fillId="0" borderId="0" xfId="0" applyFont="1" applyAlignment="1">
      <alignment/>
    </xf>
    <xf numFmtId="171" fontId="0" fillId="0" borderId="0" xfId="49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171" fontId="3" fillId="0" borderId="10" xfId="49" applyFont="1" applyFill="1" applyBorder="1" applyAlignment="1">
      <alignment/>
    </xf>
    <xf numFmtId="171" fontId="3" fillId="0" borderId="10" xfId="49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171" fontId="6" fillId="0" borderId="10" xfId="49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171" fontId="7" fillId="0" borderId="10" xfId="49" applyFont="1" applyFill="1" applyBorder="1" applyAlignment="1">
      <alignment/>
    </xf>
    <xf numFmtId="171" fontId="7" fillId="0" borderId="10" xfId="49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171" fontId="8" fillId="0" borderId="10" xfId="49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71" fontId="7" fillId="0" borderId="10" xfId="0" applyNumberFormat="1" applyFont="1" applyBorder="1" applyAlignment="1">
      <alignment/>
    </xf>
    <xf numFmtId="171" fontId="7" fillId="0" borderId="0" xfId="49" applyFont="1" applyAlignment="1">
      <alignment/>
    </xf>
    <xf numFmtId="171" fontId="9" fillId="0" borderId="10" xfId="49" applyFont="1" applyFill="1" applyBorder="1" applyAlignment="1">
      <alignment/>
    </xf>
    <xf numFmtId="0" fontId="3" fillId="0" borderId="0" xfId="0" applyFont="1" applyFill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10" xfId="49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19" borderId="13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171" fontId="5" fillId="0" borderId="0" xfId="0" applyNumberFormat="1" applyFont="1" applyAlignment="1">
      <alignment/>
    </xf>
    <xf numFmtId="171" fontId="6" fillId="0" borderId="10" xfId="49" applyNumberFormat="1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91" fontId="7" fillId="0" borderId="10" xfId="49" applyNumberFormat="1" applyFont="1" applyFill="1" applyBorder="1" applyAlignment="1">
      <alignment/>
    </xf>
    <xf numFmtId="191" fontId="7" fillId="0" borderId="10" xfId="49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191" fontId="7" fillId="0" borderId="1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49" applyFont="1" applyBorder="1" applyAlignment="1">
      <alignment/>
    </xf>
    <xf numFmtId="171" fontId="0" fillId="0" borderId="10" xfId="49" applyFont="1" applyBorder="1" applyAlignment="1">
      <alignment/>
    </xf>
    <xf numFmtId="171" fontId="5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1" fontId="3" fillId="0" borderId="10" xfId="0" applyNumberFormat="1" applyFont="1" applyFill="1" applyBorder="1" applyAlignment="1">
      <alignment/>
    </xf>
    <xf numFmtId="171" fontId="7" fillId="9" borderId="10" xfId="49" applyFont="1" applyFill="1" applyBorder="1" applyAlignment="1">
      <alignment/>
    </xf>
    <xf numFmtId="171" fontId="7" fillId="9" borderId="0" xfId="49" applyFont="1" applyFill="1" applyAlignment="1">
      <alignment/>
    </xf>
    <xf numFmtId="0" fontId="7" fillId="0" borderId="10" xfId="0" applyFont="1" applyBorder="1" applyAlignment="1">
      <alignment horizontal="center"/>
    </xf>
    <xf numFmtId="191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1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3" fillId="0" borderId="0" xfId="49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71" fontId="6" fillId="0" borderId="0" xfId="49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71" fontId="14" fillId="0" borderId="0" xfId="0" applyNumberFormat="1" applyFont="1" applyAlignment="1">
      <alignment/>
    </xf>
    <xf numFmtId="191" fontId="3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91" fontId="7" fillId="0" borderId="10" xfId="49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9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1" fontId="6" fillId="0" borderId="10" xfId="0" applyNumberFormat="1" applyFont="1" applyBorder="1" applyAlignment="1">
      <alignment/>
    </xf>
    <xf numFmtId="171" fontId="2" fillId="0" borderId="0" xfId="49" applyNumberFormat="1" applyFont="1" applyAlignment="1">
      <alignment/>
    </xf>
    <xf numFmtId="171" fontId="4" fillId="0" borderId="0" xfId="49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0" borderId="11" xfId="49" applyNumberFormat="1" applyFont="1" applyFill="1" applyBorder="1" applyAlignment="1">
      <alignment/>
    </xf>
    <xf numFmtId="171" fontId="7" fillId="0" borderId="10" xfId="49" applyNumberFormat="1" applyFont="1" applyFill="1" applyBorder="1" applyAlignment="1">
      <alignment/>
    </xf>
    <xf numFmtId="171" fontId="7" fillId="0" borderId="10" xfId="49" applyNumberFormat="1" applyFont="1" applyBorder="1" applyAlignment="1">
      <alignment/>
    </xf>
    <xf numFmtId="171" fontId="3" fillId="0" borderId="10" xfId="49" applyNumberFormat="1" applyFont="1" applyFill="1" applyBorder="1" applyAlignment="1">
      <alignment/>
    </xf>
    <xf numFmtId="171" fontId="6" fillId="0" borderId="10" xfId="49" applyNumberFormat="1" applyFont="1" applyBorder="1" applyAlignment="1">
      <alignment/>
    </xf>
    <xf numFmtId="171" fontId="7" fillId="0" borderId="0" xfId="49" applyNumberFormat="1" applyFont="1" applyAlignment="1">
      <alignment/>
    </xf>
    <xf numFmtId="171" fontId="3" fillId="0" borderId="10" xfId="49" applyNumberFormat="1" applyFont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12" fillId="0" borderId="10" xfId="49" applyNumberFormat="1" applyFont="1" applyBorder="1" applyAlignment="1">
      <alignment/>
    </xf>
    <xf numFmtId="171" fontId="3" fillId="0" borderId="10" xfId="49" applyNumberFormat="1" applyFont="1" applyFill="1" applyBorder="1" applyAlignment="1">
      <alignment horizontal="left"/>
    </xf>
    <xf numFmtId="171" fontId="0" fillId="0" borderId="10" xfId="49" applyNumberFormat="1" applyFont="1" applyFill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ill="1" applyBorder="1" applyAlignment="1">
      <alignment/>
    </xf>
    <xf numFmtId="171" fontId="7" fillId="0" borderId="0" xfId="49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49" applyNumberFormat="1" applyFont="1" applyAlignment="1">
      <alignment/>
    </xf>
    <xf numFmtId="171" fontId="0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53" fillId="0" borderId="0" xfId="49" applyNumberFormat="1" applyFont="1" applyAlignment="1">
      <alignment/>
    </xf>
    <xf numFmtId="171" fontId="0" fillId="0" borderId="0" xfId="49" applyNumberFormat="1" applyFont="1" applyAlignment="1">
      <alignment/>
    </xf>
    <xf numFmtId="191" fontId="7" fillId="33" borderId="10" xfId="49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91" fontId="3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wrapText="1"/>
    </xf>
    <xf numFmtId="191" fontId="3" fillId="34" borderId="13" xfId="0" applyNumberFormat="1" applyFont="1" applyFill="1" applyBorder="1" applyAlignment="1">
      <alignment/>
    </xf>
    <xf numFmtId="191" fontId="3" fillId="34" borderId="16" xfId="49" applyNumberFormat="1" applyFont="1" applyFill="1" applyBorder="1" applyAlignment="1">
      <alignment/>
    </xf>
    <xf numFmtId="0" fontId="7" fillId="34" borderId="17" xfId="0" applyFont="1" applyFill="1" applyBorder="1" applyAlignment="1">
      <alignment wrapText="1"/>
    </xf>
    <xf numFmtId="191" fontId="7" fillId="34" borderId="18" xfId="0" applyNumberFormat="1" applyFont="1" applyFill="1" applyBorder="1" applyAlignment="1">
      <alignment/>
    </xf>
    <xf numFmtId="191" fontId="7" fillId="34" borderId="0" xfId="49" applyNumberFormat="1" applyFont="1" applyFill="1" applyBorder="1" applyAlignment="1">
      <alignment/>
    </xf>
    <xf numFmtId="191" fontId="7" fillId="34" borderId="17" xfId="49" applyNumberFormat="1" applyFont="1" applyFill="1" applyBorder="1" applyAlignment="1">
      <alignment/>
    </xf>
    <xf numFmtId="191" fontId="3" fillId="34" borderId="18" xfId="0" applyNumberFormat="1" applyFont="1" applyFill="1" applyBorder="1" applyAlignment="1">
      <alignment/>
    </xf>
    <xf numFmtId="191" fontId="3" fillId="34" borderId="13" xfId="49" applyNumberFormat="1" applyFont="1" applyFill="1" applyBorder="1" applyAlignment="1">
      <alignment/>
    </xf>
    <xf numFmtId="191" fontId="7" fillId="34" borderId="18" xfId="49" applyNumberFormat="1" applyFont="1" applyFill="1" applyBorder="1" applyAlignment="1">
      <alignment/>
    </xf>
    <xf numFmtId="191" fontId="3" fillId="34" borderId="11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91" fontId="3" fillId="34" borderId="10" xfId="49" applyNumberFormat="1" applyFont="1" applyFill="1" applyBorder="1" applyAlignment="1">
      <alignment/>
    </xf>
    <xf numFmtId="191" fontId="3" fillId="34" borderId="12" xfId="49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91" fontId="7" fillId="0" borderId="0" xfId="0" applyNumberFormat="1" applyFont="1" applyFill="1" applyAlignment="1">
      <alignment/>
    </xf>
    <xf numFmtId="191" fontId="7" fillId="34" borderId="11" xfId="49" applyNumberFormat="1" applyFont="1" applyFill="1" applyBorder="1" applyAlignment="1">
      <alignment/>
    </xf>
    <xf numFmtId="171" fontId="4" fillId="0" borderId="0" xfId="49" applyFont="1" applyAlignment="1">
      <alignment/>
    </xf>
    <xf numFmtId="0" fontId="4" fillId="19" borderId="13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/>
    </xf>
    <xf numFmtId="0" fontId="0" fillId="19" borderId="11" xfId="0" applyFont="1" applyFill="1" applyBorder="1" applyAlignment="1">
      <alignment/>
    </xf>
    <xf numFmtId="0" fontId="4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171" fontId="3" fillId="0" borderId="11" xfId="49" applyFont="1" applyFill="1" applyBorder="1" applyAlignment="1">
      <alignment/>
    </xf>
    <xf numFmtId="171" fontId="3" fillId="0" borderId="11" xfId="0" applyNumberFormat="1" applyFont="1" applyBorder="1" applyAlignment="1">
      <alignment/>
    </xf>
    <xf numFmtId="171" fontId="3" fillId="0" borderId="11" xfId="49" applyFont="1" applyBorder="1" applyAlignment="1">
      <alignment/>
    </xf>
    <xf numFmtId="171" fontId="7" fillId="0" borderId="11" xfId="49" applyFont="1" applyBorder="1" applyAlignment="1">
      <alignment/>
    </xf>
    <xf numFmtId="171" fontId="6" fillId="0" borderId="10" xfId="49" applyFont="1" applyFill="1" applyBorder="1" applyAlignment="1">
      <alignment/>
    </xf>
    <xf numFmtId="171" fontId="7" fillId="12" borderId="10" xfId="49" applyFont="1" applyFill="1" applyBorder="1" applyAlignment="1">
      <alignment/>
    </xf>
    <xf numFmtId="171" fontId="7" fillId="9" borderId="10" xfId="0" applyNumberFormat="1" applyFont="1" applyFill="1" applyBorder="1" applyAlignment="1">
      <alignment/>
    </xf>
    <xf numFmtId="171" fontId="3" fillId="9" borderId="10" xfId="49" applyFont="1" applyFill="1" applyBorder="1" applyAlignment="1">
      <alignment/>
    </xf>
    <xf numFmtId="171" fontId="12" fillId="0" borderId="10" xfId="49" applyFont="1" applyBorder="1" applyAlignment="1">
      <alignment/>
    </xf>
    <xf numFmtId="171" fontId="0" fillId="0" borderId="10" xfId="49" applyFont="1" applyFill="1" applyBorder="1" applyAlignment="1">
      <alignment/>
    </xf>
    <xf numFmtId="0" fontId="0" fillId="0" borderId="10" xfId="0" applyFill="1" applyBorder="1" applyAlignment="1">
      <alignment/>
    </xf>
    <xf numFmtId="171" fontId="12" fillId="0" borderId="10" xfId="49" applyFont="1" applyFill="1" applyBorder="1" applyAlignment="1">
      <alignment/>
    </xf>
    <xf numFmtId="0" fontId="7" fillId="0" borderId="0" xfId="0" applyFont="1" applyFill="1" applyAlignment="1">
      <alignment/>
    </xf>
    <xf numFmtId="171" fontId="7" fillId="16" borderId="10" xfId="49" applyFont="1" applyFill="1" applyBorder="1" applyAlignment="1">
      <alignment/>
    </xf>
    <xf numFmtId="171" fontId="0" fillId="0" borderId="0" xfId="49" applyFont="1" applyAlignment="1">
      <alignment/>
    </xf>
    <xf numFmtId="0" fontId="7" fillId="0" borderId="0" xfId="0" applyFont="1" applyFill="1" applyBorder="1" applyAlignment="1">
      <alignment horizontal="center"/>
    </xf>
    <xf numFmtId="171" fontId="7" fillId="0" borderId="0" xfId="49" applyFont="1" applyFill="1" applyBorder="1" applyAlignment="1">
      <alignment/>
    </xf>
    <xf numFmtId="171" fontId="53" fillId="0" borderId="0" xfId="49" applyFont="1" applyAlignment="1">
      <alignment/>
    </xf>
    <xf numFmtId="171" fontId="7" fillId="0" borderId="0" xfId="49" applyFont="1" applyBorder="1" applyAlignment="1">
      <alignment/>
    </xf>
    <xf numFmtId="0" fontId="7" fillId="35" borderId="10" xfId="0" applyFont="1" applyFill="1" applyBorder="1" applyAlignment="1">
      <alignment/>
    </xf>
    <xf numFmtId="171" fontId="7" fillId="35" borderId="10" xfId="49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71" fontId="7" fillId="35" borderId="10" xfId="0" applyNumberFormat="1" applyFont="1" applyFill="1" applyBorder="1" applyAlignment="1">
      <alignment/>
    </xf>
    <xf numFmtId="171" fontId="6" fillId="35" borderId="10" xfId="49" applyFont="1" applyFill="1" applyBorder="1" applyAlignment="1">
      <alignment/>
    </xf>
    <xf numFmtId="171" fontId="3" fillId="35" borderId="10" xfId="49" applyFont="1" applyFill="1" applyBorder="1" applyAlignment="1">
      <alignment/>
    </xf>
    <xf numFmtId="171" fontId="8" fillId="35" borderId="10" xfId="49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71" fontId="12" fillId="35" borderId="10" xfId="49" applyFont="1" applyFill="1" applyBorder="1" applyAlignment="1">
      <alignment/>
    </xf>
    <xf numFmtId="171" fontId="7" fillId="12" borderId="10" xfId="49" applyNumberFormat="1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171" fontId="7" fillId="0" borderId="0" xfId="0" applyNumberFormat="1" applyFont="1" applyFill="1" applyAlignment="1">
      <alignment/>
    </xf>
    <xf numFmtId="43" fontId="7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171" fontId="6" fillId="0" borderId="0" xfId="49" applyFont="1" applyBorder="1" applyAlignment="1">
      <alignment/>
    </xf>
    <xf numFmtId="171" fontId="6" fillId="9" borderId="10" xfId="49" applyFont="1" applyFill="1" applyBorder="1" applyAlignment="1">
      <alignment/>
    </xf>
    <xf numFmtId="49" fontId="4" fillId="19" borderId="13" xfId="49" applyNumberFormat="1" applyFont="1" applyFill="1" applyBorder="1" applyAlignment="1">
      <alignment horizontal="center" vertical="center"/>
    </xf>
    <xf numFmtId="49" fontId="4" fillId="19" borderId="11" xfId="49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/>
    </xf>
    <xf numFmtId="171" fontId="4" fillId="19" borderId="13" xfId="49" applyNumberFormat="1" applyFont="1" applyFill="1" applyBorder="1" applyAlignment="1">
      <alignment horizontal="center" vertical="center"/>
    </xf>
    <xf numFmtId="171" fontId="4" fillId="19" borderId="11" xfId="49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35" borderId="10" xfId="0" applyFont="1" applyFill="1" applyBorder="1" applyAlignment="1">
      <alignment horizontal="center"/>
    </xf>
    <xf numFmtId="191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19" borderId="13" xfId="49" applyNumberFormat="1" applyFont="1" applyFill="1" applyBorder="1" applyAlignment="1">
      <alignment horizontal="center" vertical="center"/>
    </xf>
    <xf numFmtId="0" fontId="4" fillId="19" borderId="11" xfId="49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19" borderId="13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allanese\Documents\ANTEPROYECTO%20PRESUPUESTO%202015%20(4_7_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Total"/>
      <sheetName val="Hoja1"/>
    </sheetNames>
    <sheetDataSet>
      <sheetData sheetId="0">
        <row r="7">
          <cell r="H7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26">
          <cell r="H126">
            <v>0</v>
          </cell>
        </row>
        <row r="157">
          <cell r="E157">
            <v>0</v>
          </cell>
          <cell r="F157">
            <v>0</v>
          </cell>
          <cell r="H157">
            <v>0</v>
          </cell>
        </row>
        <row r="166">
          <cell r="E1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169">
      <pane xSplit="7785" topLeftCell="F1" activePane="topRight" state="split"/>
      <selection pane="topLeft" activeCell="B184" sqref="B184"/>
      <selection pane="topRight" activeCell="F103" sqref="F103"/>
    </sheetView>
  </sheetViews>
  <sheetFormatPr defaultColWidth="12" defaultRowHeight="12.75"/>
  <cols>
    <col min="1" max="1" width="13.66015625" style="0" customWidth="1"/>
    <col min="2" max="2" width="69" style="0" customWidth="1"/>
    <col min="3" max="3" width="25.66015625" style="126" bestFit="1" customWidth="1"/>
    <col min="4" max="4" width="23.33203125" style="126" bestFit="1" customWidth="1"/>
    <col min="5" max="5" width="24.83203125" style="37" bestFit="1" customWidth="1"/>
    <col min="6" max="6" width="22" style="37" bestFit="1" customWidth="1"/>
    <col min="7" max="7" width="24.66015625" style="37" customWidth="1"/>
    <col min="8" max="8" width="13" style="0" customWidth="1"/>
    <col min="9" max="9" width="24.16015625" style="1" hidden="1" customWidth="1"/>
    <col min="10" max="10" width="21.66015625" style="0" hidden="1" customWidth="1"/>
    <col min="11" max="12" width="19.66015625" style="0" bestFit="1" customWidth="1"/>
    <col min="13" max="13" width="18.33203125" style="0" bestFit="1" customWidth="1"/>
    <col min="18" max="18" width="18" style="0" bestFit="1" customWidth="1"/>
  </cols>
  <sheetData>
    <row r="1" spans="1:9" s="2" customFormat="1" ht="20.25">
      <c r="A1" s="2" t="s">
        <v>10</v>
      </c>
      <c r="C1" s="103"/>
      <c r="D1" s="103"/>
      <c r="E1" s="104"/>
      <c r="F1" s="203"/>
      <c r="G1" s="203"/>
      <c r="I1" s="3"/>
    </row>
    <row r="2" spans="1:9" s="2" customFormat="1" ht="20.25">
      <c r="A2" s="2" t="s">
        <v>461</v>
      </c>
      <c r="C2" s="103"/>
      <c r="D2" s="103"/>
      <c r="E2" s="53"/>
      <c r="F2" s="105"/>
      <c r="G2" s="105"/>
      <c r="I2" s="3"/>
    </row>
    <row r="3" spans="3:9" s="2" customFormat="1" ht="20.25">
      <c r="C3" s="103"/>
      <c r="D3" s="103"/>
      <c r="E3" s="53"/>
      <c r="F3" s="105"/>
      <c r="G3" s="105"/>
      <c r="I3" s="3"/>
    </row>
    <row r="4" spans="1:10" s="38" customFormat="1" ht="12.75" customHeight="1">
      <c r="A4" s="50"/>
      <c r="B4" s="50"/>
      <c r="C4" s="201">
        <v>169</v>
      </c>
      <c r="D4" s="201">
        <v>170</v>
      </c>
      <c r="E4" s="201">
        <v>175</v>
      </c>
      <c r="F4" s="201">
        <v>185</v>
      </c>
      <c r="G4" s="204" t="s">
        <v>9</v>
      </c>
      <c r="H4" s="61"/>
      <c r="I4" s="66" t="s">
        <v>296</v>
      </c>
      <c r="J4" s="67" t="s">
        <v>252</v>
      </c>
    </row>
    <row r="5" spans="1:10" s="6" customFormat="1" ht="12.75">
      <c r="A5" s="51" t="s">
        <v>0</v>
      </c>
      <c r="B5" s="52"/>
      <c r="C5" s="202"/>
      <c r="D5" s="202"/>
      <c r="E5" s="202"/>
      <c r="F5" s="202"/>
      <c r="G5" s="205"/>
      <c r="H5" s="62"/>
      <c r="I5" s="64"/>
      <c r="J5" s="63"/>
    </row>
    <row r="6" spans="1:10" s="4" customFormat="1" ht="15.75">
      <c r="A6" s="39">
        <v>0</v>
      </c>
      <c r="B6" s="9" t="s">
        <v>13</v>
      </c>
      <c r="C6" s="106">
        <f>SUM(C7,C9,C12,C18,C21)</f>
        <v>7422447779</v>
      </c>
      <c r="D6" s="106">
        <f>SUM(D7,D9,D12,D18,D21)</f>
        <v>1108090037</v>
      </c>
      <c r="E6" s="106">
        <f>SUM(E7,E9,E12,E18,E21)</f>
        <v>10811596889</v>
      </c>
      <c r="F6" s="106">
        <f>SUM(F7,F9,F12,F18,F21)</f>
        <v>0</v>
      </c>
      <c r="G6" s="42">
        <f>SUM(C6,D6,E6,F6)</f>
        <v>19342134705</v>
      </c>
      <c r="I6" s="11">
        <f>SUM(I7,I9,I12,I18,I21)</f>
        <v>19341200570</v>
      </c>
      <c r="J6" s="11">
        <f>SUM(J7,J9,J12,J18,J21)</f>
        <v>0</v>
      </c>
    </row>
    <row r="7" spans="1:10" s="13" customFormat="1" ht="15.75">
      <c r="A7" s="12" t="s">
        <v>43</v>
      </c>
      <c r="B7" s="13" t="s">
        <v>16</v>
      </c>
      <c r="C7" s="54">
        <f>SUM(C8)</f>
        <v>2499183571</v>
      </c>
      <c r="D7" s="54">
        <f>SUM(D8)</f>
        <v>354899207</v>
      </c>
      <c r="E7" s="54">
        <f>SUM(E8)</f>
        <v>3585713956</v>
      </c>
      <c r="F7" s="54">
        <f>SUM(F8)</f>
        <v>0</v>
      </c>
      <c r="G7" s="42">
        <f aca="true" t="shared" si="0" ref="G7:G70">SUM(C7,D7,E7,F7)</f>
        <v>6439796734</v>
      </c>
      <c r="I7" s="14">
        <f>SUM(I8)</f>
        <v>6438435078</v>
      </c>
      <c r="J7" s="14">
        <f>SUM(J8)</f>
        <v>0</v>
      </c>
    </row>
    <row r="8" spans="1:10" s="19" customFormat="1" ht="15.75">
      <c r="A8" s="15" t="s">
        <v>44</v>
      </c>
      <c r="B8" s="16" t="s">
        <v>1</v>
      </c>
      <c r="C8" s="107">
        <v>2499183571</v>
      </c>
      <c r="D8" s="107">
        <v>354899207</v>
      </c>
      <c r="E8" s="108">
        <v>3585713956</v>
      </c>
      <c r="F8" s="33"/>
      <c r="G8" s="33">
        <f t="shared" si="0"/>
        <v>6439796734</v>
      </c>
      <c r="I8" s="18">
        <v>6438435078</v>
      </c>
      <c r="J8" s="16"/>
    </row>
    <row r="9" spans="1:10" s="13" customFormat="1" ht="15.75">
      <c r="A9" s="12" t="s">
        <v>45</v>
      </c>
      <c r="B9" s="20" t="s">
        <v>14</v>
      </c>
      <c r="C9" s="54">
        <f>SUM(C10:C11)</f>
        <v>47000000</v>
      </c>
      <c r="D9" s="54">
        <f>SUM(D10:D11)</f>
        <v>3500000</v>
      </c>
      <c r="E9" s="54">
        <f>SUM(E10:E11)</f>
        <v>10000000</v>
      </c>
      <c r="F9" s="54">
        <f>SUM(F10:F11)</f>
        <v>0</v>
      </c>
      <c r="G9" s="102">
        <f t="shared" si="0"/>
        <v>60500000</v>
      </c>
      <c r="I9" s="14">
        <f>SUM(I10:I11)</f>
        <v>38000000</v>
      </c>
      <c r="J9" s="14">
        <f>SUM(J10:J11)</f>
        <v>0</v>
      </c>
    </row>
    <row r="10" spans="1:10" s="19" customFormat="1" ht="15.75">
      <c r="A10" s="15" t="s">
        <v>46</v>
      </c>
      <c r="B10" s="16" t="s">
        <v>17</v>
      </c>
      <c r="C10" s="107">
        <v>44000000</v>
      </c>
      <c r="D10" s="107">
        <v>3500000</v>
      </c>
      <c r="E10" s="108">
        <v>10000000</v>
      </c>
      <c r="F10" s="33"/>
      <c r="G10" s="33">
        <f t="shared" si="0"/>
        <v>57500000</v>
      </c>
      <c r="I10" s="18">
        <v>37500000</v>
      </c>
      <c r="J10" s="16"/>
    </row>
    <row r="11" spans="1:10" s="19" customFormat="1" ht="15.75">
      <c r="A11" s="15" t="s">
        <v>198</v>
      </c>
      <c r="B11" s="16" t="s">
        <v>241</v>
      </c>
      <c r="C11" s="107">
        <v>3000000</v>
      </c>
      <c r="D11" s="107"/>
      <c r="E11" s="108"/>
      <c r="F11" s="33"/>
      <c r="G11" s="33">
        <f t="shared" si="0"/>
        <v>3000000</v>
      </c>
      <c r="I11" s="18">
        <v>500000</v>
      </c>
      <c r="J11" s="16"/>
    </row>
    <row r="12" spans="1:10" s="13" customFormat="1" ht="15.75">
      <c r="A12" s="12" t="s">
        <v>47</v>
      </c>
      <c r="B12" s="20" t="s">
        <v>15</v>
      </c>
      <c r="C12" s="54">
        <f>SUM(C13:C17)</f>
        <v>3546347627</v>
      </c>
      <c r="D12" s="54">
        <f>SUM(D13:D17)</f>
        <v>551444964</v>
      </c>
      <c r="E12" s="54">
        <f>SUM(E13:E17)</f>
        <v>5375863570</v>
      </c>
      <c r="F12" s="54">
        <f>SUM(F13:F17)</f>
        <v>0</v>
      </c>
      <c r="G12" s="42">
        <f t="shared" si="0"/>
        <v>9473656161</v>
      </c>
      <c r="I12" s="14">
        <f>SUM(I13:I17)</f>
        <v>9493318226</v>
      </c>
      <c r="J12" s="14">
        <f>SUM(J13:J17)</f>
        <v>0</v>
      </c>
    </row>
    <row r="13" spans="1:10" s="19" customFormat="1" ht="15.75">
      <c r="A13" s="15" t="s">
        <v>48</v>
      </c>
      <c r="B13" s="16" t="s">
        <v>18</v>
      </c>
      <c r="C13" s="107">
        <v>1212836711</v>
      </c>
      <c r="D13" s="107">
        <v>167301452</v>
      </c>
      <c r="E13" s="108">
        <v>1834061005</v>
      </c>
      <c r="F13" s="33"/>
      <c r="G13" s="33">
        <f t="shared" si="0"/>
        <v>3214199168</v>
      </c>
      <c r="I13" s="18">
        <v>3215807407</v>
      </c>
      <c r="J13" s="16"/>
    </row>
    <row r="14" spans="1:10" s="19" customFormat="1" ht="15.75">
      <c r="A14" s="15" t="s">
        <v>49</v>
      </c>
      <c r="B14" s="16" t="s">
        <v>19</v>
      </c>
      <c r="C14" s="107">
        <v>1053034651</v>
      </c>
      <c r="D14" s="107">
        <v>189551800</v>
      </c>
      <c r="E14" s="108">
        <v>1490649660</v>
      </c>
      <c r="F14" s="33"/>
      <c r="G14" s="33">
        <f t="shared" si="0"/>
        <v>2733236111</v>
      </c>
      <c r="I14" s="18">
        <v>2738245275</v>
      </c>
      <c r="J14" s="16"/>
    </row>
    <row r="15" spans="1:10" s="19" customFormat="1" ht="15.75">
      <c r="A15" s="15" t="s">
        <v>50</v>
      </c>
      <c r="B15" s="16" t="s">
        <v>20</v>
      </c>
      <c r="C15" s="107">
        <v>468483198</v>
      </c>
      <c r="D15" s="107">
        <v>69962171</v>
      </c>
      <c r="E15" s="108">
        <v>689866526</v>
      </c>
      <c r="F15" s="33"/>
      <c r="G15" s="33">
        <f t="shared" si="0"/>
        <v>1228311895</v>
      </c>
      <c r="I15" s="18">
        <v>1229719099</v>
      </c>
      <c r="J15" s="16"/>
    </row>
    <row r="16" spans="1:10" s="19" customFormat="1" ht="15.75">
      <c r="A16" s="15" t="s">
        <v>51</v>
      </c>
      <c r="B16" s="16" t="s">
        <v>2</v>
      </c>
      <c r="C16" s="107">
        <v>377000000</v>
      </c>
      <c r="D16" s="107">
        <v>53000000</v>
      </c>
      <c r="E16" s="108">
        <v>568000000</v>
      </c>
      <c r="F16" s="33"/>
      <c r="G16" s="33">
        <f t="shared" si="0"/>
        <v>998000000</v>
      </c>
      <c r="I16" s="18">
        <v>1008000000</v>
      </c>
      <c r="J16" s="16"/>
    </row>
    <row r="17" spans="1:10" s="19" customFormat="1" ht="15.75">
      <c r="A17" s="15" t="s">
        <v>52</v>
      </c>
      <c r="B17" s="16" t="s">
        <v>21</v>
      </c>
      <c r="C17" s="107">
        <v>434993067</v>
      </c>
      <c r="D17" s="107">
        <v>71629541</v>
      </c>
      <c r="E17" s="108">
        <v>793286379</v>
      </c>
      <c r="F17" s="33"/>
      <c r="G17" s="33">
        <f t="shared" si="0"/>
        <v>1299908987</v>
      </c>
      <c r="I17" s="18">
        <v>1301546445</v>
      </c>
      <c r="J17" s="16"/>
    </row>
    <row r="18" spans="1:10" s="13" customFormat="1" ht="15.75">
      <c r="A18" s="12" t="s">
        <v>53</v>
      </c>
      <c r="B18" s="20" t="s">
        <v>83</v>
      </c>
      <c r="C18" s="54">
        <f>SUM(C19:C20)</f>
        <v>548344680</v>
      </c>
      <c r="D18" s="54">
        <f>SUM(D19:D20)</f>
        <v>81888495</v>
      </c>
      <c r="E18" s="54">
        <f>SUM(E19:E20)</f>
        <v>807466823</v>
      </c>
      <c r="F18" s="54">
        <f>SUM(F19:F20)</f>
        <v>0</v>
      </c>
      <c r="G18" s="33">
        <f t="shared" si="0"/>
        <v>1437699998</v>
      </c>
      <c r="I18" s="14">
        <f>SUM(I19:I20)</f>
        <v>1439347085</v>
      </c>
      <c r="J18" s="14">
        <f>SUM(J19:J20)</f>
        <v>0</v>
      </c>
    </row>
    <row r="19" spans="1:10" s="19" customFormat="1" ht="15.75">
      <c r="A19" s="15" t="s">
        <v>54</v>
      </c>
      <c r="B19" s="16" t="s">
        <v>22</v>
      </c>
      <c r="C19" s="107">
        <v>520224440</v>
      </c>
      <c r="D19" s="107">
        <v>77689085</v>
      </c>
      <c r="E19" s="108">
        <v>766058268</v>
      </c>
      <c r="F19" s="33"/>
      <c r="G19" s="33">
        <f t="shared" si="0"/>
        <v>1363971793</v>
      </c>
      <c r="I19" s="18">
        <v>1365534414</v>
      </c>
      <c r="J19" s="16"/>
    </row>
    <row r="20" spans="1:10" s="19" customFormat="1" ht="15.75">
      <c r="A20" s="15" t="s">
        <v>55</v>
      </c>
      <c r="B20" s="16" t="s">
        <v>23</v>
      </c>
      <c r="C20" s="107">
        <v>28120240</v>
      </c>
      <c r="D20" s="107">
        <v>4199410</v>
      </c>
      <c r="E20" s="108">
        <v>41408555</v>
      </c>
      <c r="F20" s="33"/>
      <c r="G20" s="33">
        <f t="shared" si="0"/>
        <v>73728205</v>
      </c>
      <c r="I20" s="18">
        <v>73812671</v>
      </c>
      <c r="J20" s="16"/>
    </row>
    <row r="21" spans="1:10" s="13" customFormat="1" ht="15.75">
      <c r="A21" s="12" t="s">
        <v>56</v>
      </c>
      <c r="B21" s="20" t="s">
        <v>24</v>
      </c>
      <c r="C21" s="54">
        <f>SUM(C22:C25)</f>
        <v>781571901</v>
      </c>
      <c r="D21" s="54">
        <f>SUM(D22:D25)</f>
        <v>116357371</v>
      </c>
      <c r="E21" s="54">
        <f>SUM(E22:E25)</f>
        <v>1032552540</v>
      </c>
      <c r="F21" s="54">
        <f>SUM(F22:F25)</f>
        <v>0</v>
      </c>
      <c r="G21" s="33">
        <f t="shared" si="0"/>
        <v>1930481812</v>
      </c>
      <c r="I21" s="14">
        <f>SUM(I22:I25)</f>
        <v>1932100181</v>
      </c>
      <c r="J21" s="14">
        <f>SUM(J22:J25)</f>
        <v>0</v>
      </c>
    </row>
    <row r="22" spans="1:10" s="19" customFormat="1" ht="15.75">
      <c r="A22" s="15" t="s">
        <v>57</v>
      </c>
      <c r="B22" s="16" t="s">
        <v>25</v>
      </c>
      <c r="C22" s="107">
        <v>285701638</v>
      </c>
      <c r="D22" s="107">
        <v>42666006</v>
      </c>
      <c r="E22" s="108">
        <v>420710919</v>
      </c>
      <c r="F22" s="33"/>
      <c r="G22" s="33">
        <f t="shared" si="0"/>
        <v>749078563</v>
      </c>
      <c r="I22" s="18">
        <v>749936737</v>
      </c>
      <c r="J22" s="16"/>
    </row>
    <row r="23" spans="1:10" s="19" customFormat="1" ht="15.75">
      <c r="A23" s="15" t="s">
        <v>58</v>
      </c>
      <c r="B23" s="16" t="s">
        <v>26</v>
      </c>
      <c r="C23" s="107">
        <v>84360720</v>
      </c>
      <c r="D23" s="107">
        <v>12598230</v>
      </c>
      <c r="E23" s="108">
        <v>124225665</v>
      </c>
      <c r="F23" s="33"/>
      <c r="G23" s="33">
        <f t="shared" si="0"/>
        <v>221184615</v>
      </c>
      <c r="I23" s="18">
        <v>221438014</v>
      </c>
      <c r="J23" s="16"/>
    </row>
    <row r="24" spans="1:10" s="19" customFormat="1" ht="15.75">
      <c r="A24" s="15" t="s">
        <v>59</v>
      </c>
      <c r="B24" s="16" t="s">
        <v>27</v>
      </c>
      <c r="C24" s="107">
        <v>168721440</v>
      </c>
      <c r="D24" s="107">
        <v>25196460</v>
      </c>
      <c r="E24" s="108">
        <v>248451330</v>
      </c>
      <c r="F24" s="33"/>
      <c r="G24" s="33">
        <f t="shared" si="0"/>
        <v>442369230</v>
      </c>
      <c r="I24" s="18">
        <v>442876026</v>
      </c>
      <c r="J24" s="16"/>
    </row>
    <row r="25" spans="1:10" s="19" customFormat="1" ht="15.75">
      <c r="A25" s="15" t="s">
        <v>168</v>
      </c>
      <c r="B25" s="16" t="s">
        <v>169</v>
      </c>
      <c r="C25" s="107">
        <v>242788103</v>
      </c>
      <c r="D25" s="107">
        <v>35896675</v>
      </c>
      <c r="E25" s="108">
        <v>239164626</v>
      </c>
      <c r="F25" s="33"/>
      <c r="G25" s="33">
        <f t="shared" si="0"/>
        <v>517849404</v>
      </c>
      <c r="I25" s="18">
        <v>517849404</v>
      </c>
      <c r="J25" s="16"/>
    </row>
    <row r="26" spans="1:10" s="19" customFormat="1" ht="15.75">
      <c r="A26" s="15"/>
      <c r="B26" s="16"/>
      <c r="C26" s="107"/>
      <c r="D26" s="107"/>
      <c r="E26" s="108"/>
      <c r="F26" s="33"/>
      <c r="G26" s="33"/>
      <c r="I26" s="18"/>
      <c r="J26" s="16"/>
    </row>
    <row r="27" spans="1:10" s="4" customFormat="1" ht="15.75">
      <c r="A27" s="8">
        <v>1</v>
      </c>
      <c r="B27" s="21" t="s">
        <v>28</v>
      </c>
      <c r="C27" s="109">
        <f>SUM(C28,C33,C39,C46,C52,C57,C61,C64,C73)</f>
        <v>1199989806</v>
      </c>
      <c r="D27" s="109">
        <f>SUM(D28,D33,D39,D46,D52,D57,D61,D64,D73)</f>
        <v>13371942</v>
      </c>
      <c r="E27" s="109">
        <f>SUM(E28,E33,E39,E46,E52,E57,E61,E64,E73)</f>
        <v>968559298</v>
      </c>
      <c r="F27" s="109">
        <f>SUM(F28,F33,F39,F46,F52,F57,F61,F64,F73)</f>
        <v>138132800</v>
      </c>
      <c r="G27" s="42">
        <f t="shared" si="0"/>
        <v>2320053846</v>
      </c>
      <c r="I27" s="11" t="e">
        <f>SUM(I28,I33,I39,#REF!,I52,I57,I61,I64,I73)</f>
        <v>#REF!</v>
      </c>
      <c r="J27" s="11" t="e">
        <f>SUM(J28,J33,J39,#REF!,J52,J57,J61,J64,J73)</f>
        <v>#REF!</v>
      </c>
    </row>
    <row r="28" spans="1:10" s="13" customFormat="1" ht="15.75">
      <c r="A28" s="22" t="s">
        <v>148</v>
      </c>
      <c r="B28" s="20" t="s">
        <v>85</v>
      </c>
      <c r="C28" s="110">
        <f>SUM(C29:C32)</f>
        <v>49380919</v>
      </c>
      <c r="D28" s="110">
        <f>SUM(D29:D32)</f>
        <v>2600342</v>
      </c>
      <c r="E28" s="110">
        <f>SUM(E29:E32)</f>
        <v>0</v>
      </c>
      <c r="F28" s="110">
        <f>SUM(F29:F32)</f>
        <v>0</v>
      </c>
      <c r="G28" s="102">
        <f t="shared" si="0"/>
        <v>51981261</v>
      </c>
      <c r="I28" s="14">
        <f>SUM(I29:I32)</f>
        <v>138622298</v>
      </c>
      <c r="J28" s="14">
        <f>SUM(J29:J32)</f>
        <v>86911437</v>
      </c>
    </row>
    <row r="29" spans="1:10" s="19" customFormat="1" ht="15.75">
      <c r="A29" s="23" t="s">
        <v>84</v>
      </c>
      <c r="B29" s="16" t="s">
        <v>29</v>
      </c>
      <c r="C29" s="108">
        <v>3600000</v>
      </c>
      <c r="D29" s="108"/>
      <c r="E29" s="78"/>
      <c r="F29" s="33"/>
      <c r="G29" s="33">
        <f t="shared" si="0"/>
        <v>3600000</v>
      </c>
      <c r="I29" s="18">
        <v>5888000</v>
      </c>
      <c r="J29" s="18">
        <v>2288000</v>
      </c>
    </row>
    <row r="30" spans="1:10" s="19" customFormat="1" ht="15.75">
      <c r="A30" s="23" t="s">
        <v>170</v>
      </c>
      <c r="B30" s="16" t="s">
        <v>171</v>
      </c>
      <c r="C30" s="107">
        <v>31260919</v>
      </c>
      <c r="D30" s="108"/>
      <c r="E30" s="108"/>
      <c r="F30" s="33"/>
      <c r="G30" s="33">
        <f t="shared" si="0"/>
        <v>31260919</v>
      </c>
      <c r="I30" s="18">
        <v>31260861</v>
      </c>
      <c r="J30" s="16"/>
    </row>
    <row r="31" spans="1:10" s="19" customFormat="1" ht="15.75">
      <c r="A31" s="23" t="s">
        <v>250</v>
      </c>
      <c r="B31" s="16" t="s">
        <v>251</v>
      </c>
      <c r="C31" s="107">
        <v>14000000</v>
      </c>
      <c r="D31" s="108">
        <v>2600342</v>
      </c>
      <c r="E31" s="78"/>
      <c r="F31" s="33"/>
      <c r="G31" s="33">
        <f>SUM(C31,D31,J31,F31)</f>
        <v>101223779</v>
      </c>
      <c r="I31" s="18">
        <f>101223437</f>
        <v>101223437</v>
      </c>
      <c r="J31" s="69">
        <v>84623437</v>
      </c>
    </row>
    <row r="32" spans="1:10" s="19" customFormat="1" ht="15.75">
      <c r="A32" s="23" t="s">
        <v>217</v>
      </c>
      <c r="B32" s="16" t="s">
        <v>218</v>
      </c>
      <c r="C32" s="107">
        <v>520000</v>
      </c>
      <c r="D32" s="108"/>
      <c r="E32" s="108"/>
      <c r="F32" s="33"/>
      <c r="G32" s="33">
        <v>250000</v>
      </c>
      <c r="I32" s="18">
        <v>250000</v>
      </c>
      <c r="J32" s="16"/>
    </row>
    <row r="33" spans="1:10" s="13" customFormat="1" ht="15.75">
      <c r="A33" s="22" t="s">
        <v>149</v>
      </c>
      <c r="B33" s="20" t="s">
        <v>182</v>
      </c>
      <c r="C33" s="54">
        <f>SUM(C34:C38)</f>
        <v>582507663</v>
      </c>
      <c r="D33" s="110">
        <f>SUM(D34:D38)</f>
        <v>0</v>
      </c>
      <c r="E33" s="110">
        <f>SUM(E34:E38)</f>
        <v>0</v>
      </c>
      <c r="F33" s="110">
        <f>SUM(F34:F38)</f>
        <v>0</v>
      </c>
      <c r="G33" s="33">
        <f t="shared" si="0"/>
        <v>582507663</v>
      </c>
      <c r="I33" s="14">
        <f>SUM(I34:I38)</f>
        <v>432507663</v>
      </c>
      <c r="J33" s="14">
        <f>SUM(J34:J38)</f>
        <v>0</v>
      </c>
    </row>
    <row r="34" spans="1:10" s="19" customFormat="1" ht="15.75">
      <c r="A34" s="27" t="s">
        <v>60</v>
      </c>
      <c r="B34" s="24" t="s">
        <v>30</v>
      </c>
      <c r="C34" s="107">
        <v>147640000</v>
      </c>
      <c r="D34" s="108"/>
      <c r="E34" s="108"/>
      <c r="F34" s="33"/>
      <c r="G34" s="33">
        <f t="shared" si="0"/>
        <v>147640000</v>
      </c>
      <c r="I34" s="18">
        <v>147640000</v>
      </c>
      <c r="J34" s="16"/>
    </row>
    <row r="35" spans="1:10" s="19" customFormat="1" ht="15.75">
      <c r="A35" s="27" t="s">
        <v>61</v>
      </c>
      <c r="B35" s="24" t="s">
        <v>31</v>
      </c>
      <c r="C35" s="107">
        <v>187387200</v>
      </c>
      <c r="D35" s="108"/>
      <c r="E35" s="108"/>
      <c r="F35" s="33"/>
      <c r="G35" s="33">
        <f t="shared" si="0"/>
        <v>187387200</v>
      </c>
      <c r="I35" s="18">
        <v>187387200</v>
      </c>
      <c r="J35" s="16"/>
    </row>
    <row r="36" spans="1:10" s="19" customFormat="1" ht="15.75">
      <c r="A36" s="27" t="s">
        <v>62</v>
      </c>
      <c r="B36" s="24" t="s">
        <v>32</v>
      </c>
      <c r="C36" s="107">
        <v>344463</v>
      </c>
      <c r="D36" s="108"/>
      <c r="E36" s="108"/>
      <c r="F36" s="33"/>
      <c r="G36" s="33">
        <f t="shared" si="0"/>
        <v>344463</v>
      </c>
      <c r="I36" s="18">
        <v>344463</v>
      </c>
      <c r="J36" s="16"/>
    </row>
    <row r="37" spans="1:10" s="19" customFormat="1" ht="15.75">
      <c r="A37" s="27" t="s">
        <v>63</v>
      </c>
      <c r="B37" s="24" t="s">
        <v>33</v>
      </c>
      <c r="C37" s="107">
        <v>231536000</v>
      </c>
      <c r="D37" s="108"/>
      <c r="E37" s="108"/>
      <c r="F37" s="33"/>
      <c r="G37" s="33">
        <f t="shared" si="0"/>
        <v>231536000</v>
      </c>
      <c r="I37" s="18">
        <v>81536000</v>
      </c>
      <c r="J37" s="16"/>
    </row>
    <row r="38" spans="1:12" s="19" customFormat="1" ht="15.75">
      <c r="A38" s="27" t="s">
        <v>64</v>
      </c>
      <c r="B38" s="24" t="s">
        <v>34</v>
      </c>
      <c r="C38" s="107">
        <v>15600000</v>
      </c>
      <c r="D38" s="108"/>
      <c r="E38" s="108"/>
      <c r="F38" s="33"/>
      <c r="G38" s="33">
        <f t="shared" si="0"/>
        <v>15600000</v>
      </c>
      <c r="I38" s="18">
        <v>15600000</v>
      </c>
      <c r="J38" s="16"/>
      <c r="L38" s="34"/>
    </row>
    <row r="39" spans="1:12" s="13" customFormat="1" ht="15.75">
      <c r="A39" s="32" t="s">
        <v>150</v>
      </c>
      <c r="B39" s="26" t="s">
        <v>35</v>
      </c>
      <c r="C39" s="54">
        <f>SUM(C40:C45)</f>
        <v>72370472</v>
      </c>
      <c r="D39" s="110">
        <f>SUM(D40:D44)</f>
        <v>2277600</v>
      </c>
      <c r="E39" s="110">
        <f>SUM(E40:E44)</f>
        <v>9430000</v>
      </c>
      <c r="F39" s="110">
        <f>SUM(F40:F44)</f>
        <v>2280000</v>
      </c>
      <c r="G39" s="102">
        <f t="shared" si="0"/>
        <v>86358072</v>
      </c>
      <c r="I39" s="14">
        <f>SUM(I40:I44)</f>
        <v>84708032</v>
      </c>
      <c r="J39" s="14">
        <f>SUM(J40:J44)</f>
        <v>8450000</v>
      </c>
      <c r="L39" s="84"/>
    </row>
    <row r="40" spans="1:12" s="13" customFormat="1" ht="15.75">
      <c r="A40" s="27" t="s">
        <v>183</v>
      </c>
      <c r="B40" s="24" t="s">
        <v>184</v>
      </c>
      <c r="C40" s="107">
        <v>6530100</v>
      </c>
      <c r="D40" s="108">
        <v>93600</v>
      </c>
      <c r="E40" s="108">
        <v>260000</v>
      </c>
      <c r="F40" s="102"/>
      <c r="G40" s="33">
        <f t="shared" si="0"/>
        <v>6883700</v>
      </c>
      <c r="I40" s="18">
        <v>7599048</v>
      </c>
      <c r="J40" s="20"/>
      <c r="L40" s="84"/>
    </row>
    <row r="41" spans="1:10" s="19" customFormat="1" ht="15.75">
      <c r="A41" s="27" t="s">
        <v>65</v>
      </c>
      <c r="B41" s="24" t="s">
        <v>36</v>
      </c>
      <c r="C41" s="107">
        <v>37734366</v>
      </c>
      <c r="D41" s="108"/>
      <c r="E41" s="111">
        <v>2560000</v>
      </c>
      <c r="F41" s="33"/>
      <c r="G41" s="33">
        <f>SUM(C41,D41,J41,F41)</f>
        <v>41484366</v>
      </c>
      <c r="I41" s="18">
        <v>54626019</v>
      </c>
      <c r="J41" s="18">
        <v>3750000</v>
      </c>
    </row>
    <row r="42" spans="1:10" s="19" customFormat="1" ht="15.75">
      <c r="A42" s="27" t="s">
        <v>66</v>
      </c>
      <c r="B42" s="24" t="s">
        <v>152</v>
      </c>
      <c r="C42" s="107">
        <v>5213416</v>
      </c>
      <c r="D42" s="108">
        <v>2184000</v>
      </c>
      <c r="E42" s="108">
        <v>6000000</v>
      </c>
      <c r="F42" s="33">
        <v>1500000</v>
      </c>
      <c r="G42" s="33">
        <f t="shared" si="0"/>
        <v>14897416</v>
      </c>
      <c r="I42" s="18">
        <v>20200375</v>
      </c>
      <c r="J42" s="18">
        <v>4700000</v>
      </c>
    </row>
    <row r="43" spans="1:11" s="19" customFormat="1" ht="15.75">
      <c r="A43" s="27" t="s">
        <v>161</v>
      </c>
      <c r="B43" s="24" t="s">
        <v>162</v>
      </c>
      <c r="C43" s="107">
        <v>767790</v>
      </c>
      <c r="D43" s="108"/>
      <c r="E43" s="108">
        <v>610000</v>
      </c>
      <c r="F43" s="33">
        <v>780000</v>
      </c>
      <c r="G43" s="33">
        <f t="shared" si="0"/>
        <v>2157790</v>
      </c>
      <c r="I43" s="18">
        <v>2157790</v>
      </c>
      <c r="J43" s="16"/>
      <c r="K43" s="78"/>
    </row>
    <row r="44" spans="1:10" s="19" customFormat="1" ht="15.75">
      <c r="A44" s="27" t="s">
        <v>239</v>
      </c>
      <c r="B44" s="24" t="s">
        <v>240</v>
      </c>
      <c r="C44" s="107">
        <v>124800</v>
      </c>
      <c r="D44" s="108"/>
      <c r="E44" s="108"/>
      <c r="F44" s="33"/>
      <c r="G44" s="33">
        <f t="shared" si="0"/>
        <v>124800</v>
      </c>
      <c r="I44" s="18">
        <v>124800</v>
      </c>
      <c r="J44" s="16"/>
    </row>
    <row r="45" spans="1:10" s="4" customFormat="1" ht="15.75">
      <c r="A45" s="27" t="s">
        <v>298</v>
      </c>
      <c r="B45" s="24" t="s">
        <v>299</v>
      </c>
      <c r="C45" s="107">
        <v>22000000</v>
      </c>
      <c r="D45" s="110"/>
      <c r="E45" s="110"/>
      <c r="F45" s="110"/>
      <c r="G45" s="33">
        <f t="shared" si="0"/>
        <v>22000000</v>
      </c>
      <c r="I45" s="18">
        <v>22000000</v>
      </c>
      <c r="J45" s="14"/>
    </row>
    <row r="46" spans="1:10" s="13" customFormat="1" ht="15.75">
      <c r="A46" s="32" t="s">
        <v>387</v>
      </c>
      <c r="B46" s="26" t="s">
        <v>163</v>
      </c>
      <c r="C46" s="54">
        <f>SUM(C47:C51)</f>
        <v>65810093</v>
      </c>
      <c r="D46" s="54">
        <f>SUM(D47:D51)</f>
        <v>210000</v>
      </c>
      <c r="E46" s="54">
        <f>SUM(E47:E51)</f>
        <v>265295254</v>
      </c>
      <c r="F46" s="54">
        <f>SUM(F47:F51)</f>
        <v>121988000</v>
      </c>
      <c r="G46" s="102">
        <f t="shared" si="0"/>
        <v>453303347</v>
      </c>
      <c r="I46" s="14"/>
      <c r="J46" s="14"/>
    </row>
    <row r="47" spans="1:13" s="4" customFormat="1" ht="15.75">
      <c r="A47" s="27" t="s">
        <v>219</v>
      </c>
      <c r="B47" s="24" t="s">
        <v>220</v>
      </c>
      <c r="C47" s="107"/>
      <c r="D47" s="108"/>
      <c r="E47" s="112"/>
      <c r="F47" s="108">
        <f>122000000-20400000</f>
        <v>101600000</v>
      </c>
      <c r="G47" s="33">
        <f t="shared" si="0"/>
        <v>101600000</v>
      </c>
      <c r="I47" s="18">
        <v>135000000</v>
      </c>
      <c r="J47" s="21"/>
      <c r="K47" s="5"/>
      <c r="L47" s="88"/>
      <c r="M47" s="88"/>
    </row>
    <row r="48" spans="1:10" s="19" customFormat="1" ht="15.75">
      <c r="A48" s="27" t="s">
        <v>191</v>
      </c>
      <c r="B48" s="24" t="s">
        <v>192</v>
      </c>
      <c r="C48" s="107"/>
      <c r="D48" s="108"/>
      <c r="E48" s="33"/>
      <c r="F48" s="108">
        <f>40800000-5400000-18000000</f>
        <v>17400000</v>
      </c>
      <c r="G48" s="33">
        <f t="shared" si="0"/>
        <v>17400000</v>
      </c>
      <c r="I48" s="18">
        <v>40800000</v>
      </c>
      <c r="J48" s="16"/>
    </row>
    <row r="49" spans="1:11" s="19" customFormat="1" ht="15.75">
      <c r="A49" s="27" t="s">
        <v>193</v>
      </c>
      <c r="B49" s="45" t="s">
        <v>194</v>
      </c>
      <c r="C49" s="107">
        <v>5000000</v>
      </c>
      <c r="D49" s="108"/>
      <c r="E49" s="33"/>
      <c r="F49" s="108"/>
      <c r="G49" s="33">
        <f t="shared" si="0"/>
        <v>5000000</v>
      </c>
      <c r="I49" s="18">
        <v>23816000</v>
      </c>
      <c r="J49" s="16"/>
      <c r="K49" s="78"/>
    </row>
    <row r="50" spans="1:11" s="19" customFormat="1" ht="15.75">
      <c r="A50" s="27" t="s">
        <v>164</v>
      </c>
      <c r="B50" s="24" t="s">
        <v>165</v>
      </c>
      <c r="C50" s="107">
        <v>59034332</v>
      </c>
      <c r="D50" s="108">
        <v>210000</v>
      </c>
      <c r="E50" s="108">
        <v>265295254</v>
      </c>
      <c r="F50" s="108">
        <v>1948000</v>
      </c>
      <c r="G50" s="33">
        <f t="shared" si="0"/>
        <v>326487586</v>
      </c>
      <c r="I50" s="18">
        <v>422789061</v>
      </c>
      <c r="J50" s="18">
        <v>67000000</v>
      </c>
      <c r="K50" s="34"/>
    </row>
    <row r="51" spans="1:11" s="19" customFormat="1" ht="15.75">
      <c r="A51" s="27" t="s">
        <v>166</v>
      </c>
      <c r="B51" s="24" t="s">
        <v>167</v>
      </c>
      <c r="C51" s="107">
        <v>1775761</v>
      </c>
      <c r="D51" s="108"/>
      <c r="E51" s="33"/>
      <c r="F51" s="108">
        <v>1040000</v>
      </c>
      <c r="G51" s="33">
        <f>SUM(C51,D51,J51,F51)</f>
        <v>41701290</v>
      </c>
      <c r="I51" s="18">
        <v>171526297</v>
      </c>
      <c r="J51" s="18">
        <v>38885529</v>
      </c>
      <c r="K51" s="78"/>
    </row>
    <row r="52" spans="1:10" s="13" customFormat="1" ht="15.75">
      <c r="A52" s="32" t="s">
        <v>151</v>
      </c>
      <c r="B52" s="26" t="s">
        <v>37</v>
      </c>
      <c r="C52" s="54">
        <f>SUM(C53:C56)</f>
        <v>48558016</v>
      </c>
      <c r="D52" s="54">
        <f>SUM(D53:D56)</f>
        <v>3312000</v>
      </c>
      <c r="E52" s="54">
        <f>SUM(E53:E56)</f>
        <v>240549768</v>
      </c>
      <c r="F52" s="54">
        <f>SUM(F53:F56)</f>
        <v>5664800</v>
      </c>
      <c r="G52" s="102">
        <f t="shared" si="0"/>
        <v>298084584</v>
      </c>
      <c r="I52" s="14">
        <f>SUM(I53:I56)</f>
        <v>355577939</v>
      </c>
      <c r="J52" s="14">
        <f>SUM(J53:J56)</f>
        <v>0</v>
      </c>
    </row>
    <row r="53" spans="1:10" s="19" customFormat="1" ht="15.75">
      <c r="A53" s="27" t="s">
        <v>67</v>
      </c>
      <c r="B53" s="24" t="s">
        <v>3</v>
      </c>
      <c r="C53" s="107">
        <v>558016</v>
      </c>
      <c r="D53" s="108">
        <v>312000</v>
      </c>
      <c r="E53" s="108">
        <v>2984800</v>
      </c>
      <c r="F53" s="108">
        <v>520000</v>
      </c>
      <c r="G53" s="33">
        <f t="shared" si="0"/>
        <v>4374816</v>
      </c>
      <c r="I53" s="18">
        <v>4959774</v>
      </c>
      <c r="J53" s="16"/>
    </row>
    <row r="54" spans="1:10" s="19" customFormat="1" ht="15.75">
      <c r="A54" s="27" t="s">
        <v>68</v>
      </c>
      <c r="B54" s="24" t="s">
        <v>38</v>
      </c>
      <c r="C54" s="107">
        <v>20000000</v>
      </c>
      <c r="D54" s="107">
        <v>3000000</v>
      </c>
      <c r="E54" s="107">
        <v>237564968</v>
      </c>
      <c r="F54" s="108">
        <v>5144800</v>
      </c>
      <c r="G54" s="33">
        <f t="shared" si="0"/>
        <v>265709768</v>
      </c>
      <c r="I54" s="18">
        <v>285150444</v>
      </c>
      <c r="J54" s="16"/>
    </row>
    <row r="55" spans="1:10" s="19" customFormat="1" ht="15.75">
      <c r="A55" s="27" t="s">
        <v>69</v>
      </c>
      <c r="B55" s="24" t="s">
        <v>39</v>
      </c>
      <c r="C55" s="107">
        <v>16500000</v>
      </c>
      <c r="D55" s="107"/>
      <c r="E55" s="107"/>
      <c r="F55" s="108"/>
      <c r="G55" s="33">
        <f t="shared" si="0"/>
        <v>16500000</v>
      </c>
      <c r="I55" s="18">
        <v>33144093</v>
      </c>
      <c r="J55" s="16"/>
    </row>
    <row r="56" spans="1:10" s="19" customFormat="1" ht="15.75">
      <c r="A56" s="27" t="s">
        <v>70</v>
      </c>
      <c r="B56" s="24" t="s">
        <v>40</v>
      </c>
      <c r="C56" s="107">
        <v>11500000</v>
      </c>
      <c r="D56" s="107"/>
      <c r="E56" s="107"/>
      <c r="F56" s="108"/>
      <c r="G56" s="33">
        <f t="shared" si="0"/>
        <v>11500000</v>
      </c>
      <c r="I56" s="18">
        <v>32323628</v>
      </c>
      <c r="J56" s="16"/>
    </row>
    <row r="57" spans="1:10" s="13" customFormat="1" ht="15.75">
      <c r="A57" s="32" t="s">
        <v>153</v>
      </c>
      <c r="B57" s="26" t="s">
        <v>41</v>
      </c>
      <c r="C57" s="54">
        <f>SUM(C58:C60)</f>
        <v>266674390</v>
      </c>
      <c r="D57" s="54">
        <f>SUM(D58:D60)</f>
        <v>0</v>
      </c>
      <c r="E57" s="54">
        <f>SUM(E58:E60)</f>
        <v>0</v>
      </c>
      <c r="F57" s="110">
        <f>SUM(F58:F60)</f>
        <v>0</v>
      </c>
      <c r="G57" s="102">
        <f t="shared" si="0"/>
        <v>266674390</v>
      </c>
      <c r="I57" s="14">
        <f>SUM(I58:I60)</f>
        <v>276674390</v>
      </c>
      <c r="J57" s="14">
        <f>SUM(J58:J60)</f>
        <v>0</v>
      </c>
    </row>
    <row r="58" spans="1:10" s="13" customFormat="1" ht="15.75">
      <c r="A58" s="27" t="s">
        <v>178</v>
      </c>
      <c r="B58" s="24" t="s">
        <v>4</v>
      </c>
      <c r="C58" s="107">
        <f>266003590+670800</f>
        <v>266674390</v>
      </c>
      <c r="D58" s="107"/>
      <c r="E58" s="54"/>
      <c r="F58" s="33"/>
      <c r="G58" s="33">
        <f t="shared" si="0"/>
        <v>266674390</v>
      </c>
      <c r="I58" s="18">
        <v>266674390</v>
      </c>
      <c r="J58" s="20"/>
    </row>
    <row r="59" spans="1:18" s="13" customFormat="1" ht="15.75" hidden="1">
      <c r="A59" s="27" t="s">
        <v>276</v>
      </c>
      <c r="B59" s="24" t="s">
        <v>277</v>
      </c>
      <c r="C59" s="107"/>
      <c r="D59" s="107"/>
      <c r="E59" s="54"/>
      <c r="F59" s="33"/>
      <c r="G59" s="33">
        <f t="shared" si="0"/>
        <v>0</v>
      </c>
      <c r="I59" s="18">
        <v>0</v>
      </c>
      <c r="J59" s="20"/>
      <c r="R59" s="84"/>
    </row>
    <row r="60" spans="1:10" s="13" customFormat="1" ht="15.75" hidden="1">
      <c r="A60" s="27" t="s">
        <v>278</v>
      </c>
      <c r="B60" s="24" t="s">
        <v>279</v>
      </c>
      <c r="C60" s="107"/>
      <c r="D60" s="107"/>
      <c r="E60" s="54"/>
      <c r="F60" s="33"/>
      <c r="G60" s="33">
        <f t="shared" si="0"/>
        <v>0</v>
      </c>
      <c r="I60" s="18">
        <v>10000000</v>
      </c>
      <c r="J60" s="20"/>
    </row>
    <row r="61" spans="1:10" s="13" customFormat="1" ht="15.75">
      <c r="A61" s="32" t="s">
        <v>172</v>
      </c>
      <c r="B61" s="26" t="s">
        <v>173</v>
      </c>
      <c r="C61" s="54">
        <f>SUM(C62:C63)</f>
        <v>17809995</v>
      </c>
      <c r="D61" s="54">
        <f>SUM(D62:D63)</f>
        <v>2100000</v>
      </c>
      <c r="E61" s="54">
        <f>SUM(E62:E63)</f>
        <v>48487505</v>
      </c>
      <c r="F61" s="54">
        <f>SUM(F62:F63)</f>
        <v>1040000</v>
      </c>
      <c r="G61" s="33">
        <f t="shared" si="0"/>
        <v>69437500</v>
      </c>
      <c r="I61" s="14">
        <f>SUM(I62:I63)</f>
        <v>72702679</v>
      </c>
      <c r="J61" s="14">
        <f>SUM(J62:J63)</f>
        <v>10000000</v>
      </c>
    </row>
    <row r="62" spans="1:12" s="13" customFormat="1" ht="15.75">
      <c r="A62" s="27" t="s">
        <v>174</v>
      </c>
      <c r="B62" s="24" t="s">
        <v>175</v>
      </c>
      <c r="C62" s="107">
        <v>12500000</v>
      </c>
      <c r="D62" s="107">
        <v>1800000</v>
      </c>
      <c r="E62" s="107">
        <v>48279505</v>
      </c>
      <c r="F62" s="108">
        <v>1040000</v>
      </c>
      <c r="G62" s="33">
        <f t="shared" si="0"/>
        <v>63619505</v>
      </c>
      <c r="I62" s="18">
        <v>61867084</v>
      </c>
      <c r="J62" s="18">
        <v>10000000</v>
      </c>
      <c r="L62" s="87"/>
    </row>
    <row r="63" spans="1:10" s="19" customFormat="1" ht="15.75">
      <c r="A63" s="27" t="s">
        <v>176</v>
      </c>
      <c r="B63" s="24" t="s">
        <v>177</v>
      </c>
      <c r="C63" s="107">
        <v>5309995</v>
      </c>
      <c r="D63" s="107">
        <v>300000</v>
      </c>
      <c r="E63" s="107">
        <v>208000</v>
      </c>
      <c r="F63" s="107"/>
      <c r="G63" s="33">
        <f t="shared" si="0"/>
        <v>5817995</v>
      </c>
      <c r="I63" s="18">
        <v>10835595</v>
      </c>
      <c r="J63" s="16"/>
    </row>
    <row r="64" spans="1:10" s="13" customFormat="1" ht="15.75">
      <c r="A64" s="32" t="s">
        <v>154</v>
      </c>
      <c r="B64" s="26" t="s">
        <v>42</v>
      </c>
      <c r="C64" s="54">
        <f>SUM(C65:C72)</f>
        <v>69560498</v>
      </c>
      <c r="D64" s="54">
        <f>SUM(D65:D72)</f>
        <v>2872000</v>
      </c>
      <c r="E64" s="54">
        <f>SUM(E65:E72)</f>
        <v>404796771</v>
      </c>
      <c r="F64" s="54">
        <f>SUM(F65:F72)</f>
        <v>7160000</v>
      </c>
      <c r="G64" s="42">
        <f t="shared" si="0"/>
        <v>484389269</v>
      </c>
      <c r="I64" s="14">
        <f>SUM(I65:I72)</f>
        <v>479548784</v>
      </c>
      <c r="J64" s="14">
        <f>SUM(J65:J72)</f>
        <v>0</v>
      </c>
    </row>
    <row r="65" spans="1:10" s="13" customFormat="1" ht="15.75">
      <c r="A65" s="27" t="s">
        <v>71</v>
      </c>
      <c r="B65" s="24" t="s">
        <v>76</v>
      </c>
      <c r="C65" s="107">
        <v>17142400</v>
      </c>
      <c r="D65" s="107"/>
      <c r="E65" s="107">
        <v>213630722</v>
      </c>
      <c r="F65" s="107">
        <v>1000000</v>
      </c>
      <c r="G65" s="33">
        <f t="shared" si="0"/>
        <v>231773122</v>
      </c>
      <c r="I65" s="18">
        <v>229893122</v>
      </c>
      <c r="J65" s="20"/>
    </row>
    <row r="66" spans="1:10" s="13" customFormat="1" ht="15.75">
      <c r="A66" s="27" t="s">
        <v>179</v>
      </c>
      <c r="B66" s="24" t="s">
        <v>254</v>
      </c>
      <c r="C66" s="107">
        <v>3000000</v>
      </c>
      <c r="D66" s="107"/>
      <c r="E66" s="107">
        <v>1560000</v>
      </c>
      <c r="F66" s="107"/>
      <c r="G66" s="33">
        <f t="shared" si="0"/>
        <v>4560000</v>
      </c>
      <c r="I66" s="18">
        <v>19354000</v>
      </c>
      <c r="J66" s="20"/>
    </row>
    <row r="67" spans="1:10" s="13" customFormat="1" ht="15.75">
      <c r="A67" s="27" t="s">
        <v>294</v>
      </c>
      <c r="B67" s="24" t="s">
        <v>295</v>
      </c>
      <c r="C67" s="107">
        <v>5400000</v>
      </c>
      <c r="D67" s="107"/>
      <c r="E67" s="107">
        <v>440000</v>
      </c>
      <c r="F67" s="107"/>
      <c r="G67" s="33">
        <f t="shared" si="0"/>
        <v>5840000</v>
      </c>
      <c r="I67" s="18">
        <v>5400000</v>
      </c>
      <c r="J67" s="20"/>
    </row>
    <row r="68" spans="1:10" s="19" customFormat="1" ht="15.75">
      <c r="A68" s="27" t="s">
        <v>72</v>
      </c>
      <c r="B68" s="24" t="s">
        <v>77</v>
      </c>
      <c r="C68" s="107">
        <v>19038100</v>
      </c>
      <c r="D68" s="107">
        <v>1000000</v>
      </c>
      <c r="E68" s="107">
        <f>141571661+20000000-237</f>
        <v>161571424</v>
      </c>
      <c r="F68" s="107">
        <v>3120000</v>
      </c>
      <c r="G68" s="33">
        <f t="shared" si="0"/>
        <v>184729524</v>
      </c>
      <c r="I68" s="18">
        <v>185549761</v>
      </c>
      <c r="J68" s="16"/>
    </row>
    <row r="69" spans="1:10" s="19" customFormat="1" ht="15.75">
      <c r="A69" s="27" t="s">
        <v>73</v>
      </c>
      <c r="B69" s="24" t="s">
        <v>78</v>
      </c>
      <c r="C69" s="107">
        <v>9179998</v>
      </c>
      <c r="D69" s="107">
        <v>104000</v>
      </c>
      <c r="E69" s="107">
        <v>4933914</v>
      </c>
      <c r="F69" s="107">
        <v>500000</v>
      </c>
      <c r="G69" s="33">
        <f t="shared" si="0"/>
        <v>14717912</v>
      </c>
      <c r="I69" s="18">
        <v>13757912</v>
      </c>
      <c r="J69" s="16"/>
    </row>
    <row r="70" spans="1:12" s="19" customFormat="1" ht="15.75">
      <c r="A70" s="27" t="s">
        <v>74</v>
      </c>
      <c r="B70" s="24" t="s">
        <v>79</v>
      </c>
      <c r="C70" s="107">
        <v>3000000</v>
      </c>
      <c r="D70" s="107">
        <v>624000</v>
      </c>
      <c r="E70" s="107">
        <v>6898000</v>
      </c>
      <c r="F70" s="107">
        <v>1500000</v>
      </c>
      <c r="G70" s="33">
        <f t="shared" si="0"/>
        <v>12022000</v>
      </c>
      <c r="H70" s="91"/>
      <c r="I70" s="18">
        <v>12350000</v>
      </c>
      <c r="J70" s="16"/>
      <c r="L70" s="78"/>
    </row>
    <row r="71" spans="1:11" s="19" customFormat="1" ht="15.75">
      <c r="A71" s="27" t="s">
        <v>75</v>
      </c>
      <c r="B71" s="24" t="s">
        <v>80</v>
      </c>
      <c r="C71" s="107">
        <v>11300000</v>
      </c>
      <c r="D71" s="107">
        <v>1144000</v>
      </c>
      <c r="E71" s="107">
        <v>15318722</v>
      </c>
      <c r="F71" s="107">
        <v>1040000</v>
      </c>
      <c r="G71" s="33">
        <v>11300000</v>
      </c>
      <c r="I71" s="33">
        <v>11300000</v>
      </c>
      <c r="J71" s="16"/>
      <c r="K71" s="78"/>
    </row>
    <row r="72" spans="1:10" s="19" customFormat="1" ht="15.75">
      <c r="A72" s="27" t="s">
        <v>82</v>
      </c>
      <c r="B72" s="24" t="s">
        <v>81</v>
      </c>
      <c r="C72" s="107">
        <v>1500000</v>
      </c>
      <c r="D72" s="107"/>
      <c r="E72" s="107">
        <v>443989</v>
      </c>
      <c r="F72" s="46"/>
      <c r="G72" s="33">
        <f aca="true" t="shared" si="1" ref="G72:G140">SUM(C72,D72,E72,F72)</f>
        <v>1943989</v>
      </c>
      <c r="I72" s="18">
        <v>1943989</v>
      </c>
      <c r="J72" s="16"/>
    </row>
    <row r="73" spans="1:10" s="13" customFormat="1" ht="15.75">
      <c r="A73" s="32" t="s">
        <v>155</v>
      </c>
      <c r="B73" s="26" t="s">
        <v>86</v>
      </c>
      <c r="C73" s="54">
        <f>SUM(C74:C76)</f>
        <v>27317760</v>
      </c>
      <c r="D73" s="54">
        <f>SUM(D74:D76)</f>
        <v>0</v>
      </c>
      <c r="E73" s="54">
        <f>SUM(E74:E76)</f>
        <v>0</v>
      </c>
      <c r="F73" s="54">
        <f>SUM(F74:F76)</f>
        <v>0</v>
      </c>
      <c r="G73" s="33">
        <f t="shared" si="1"/>
        <v>27317760</v>
      </c>
      <c r="I73" s="14">
        <f>SUM(I74:I76)</f>
        <v>27317760</v>
      </c>
      <c r="J73" s="14">
        <f>SUM(J74:J76)</f>
        <v>0</v>
      </c>
    </row>
    <row r="74" spans="1:10" s="13" customFormat="1" ht="15.75">
      <c r="A74" s="27" t="s">
        <v>221</v>
      </c>
      <c r="B74" s="24" t="s">
        <v>222</v>
      </c>
      <c r="C74" s="107">
        <v>2000000</v>
      </c>
      <c r="D74" s="107"/>
      <c r="E74" s="54"/>
      <c r="F74" s="113"/>
      <c r="G74" s="33">
        <f t="shared" si="1"/>
        <v>2000000</v>
      </c>
      <c r="I74" s="18">
        <v>2000000</v>
      </c>
      <c r="J74" s="20"/>
    </row>
    <row r="75" spans="1:10" s="13" customFormat="1" ht="15.75">
      <c r="A75" s="27" t="s">
        <v>245</v>
      </c>
      <c r="B75" s="24" t="s">
        <v>244</v>
      </c>
      <c r="C75" s="108">
        <v>8008000</v>
      </c>
      <c r="D75" s="108"/>
      <c r="E75" s="110"/>
      <c r="F75" s="102"/>
      <c r="G75" s="33">
        <f t="shared" si="1"/>
        <v>8008000</v>
      </c>
      <c r="I75" s="18">
        <v>8008000</v>
      </c>
      <c r="J75" s="20"/>
    </row>
    <row r="76" spans="1:10" s="13" customFormat="1" ht="15.75">
      <c r="A76" s="27" t="s">
        <v>223</v>
      </c>
      <c r="B76" s="24" t="s">
        <v>224</v>
      </c>
      <c r="C76" s="108">
        <v>17309760</v>
      </c>
      <c r="D76" s="108"/>
      <c r="E76" s="110"/>
      <c r="F76" s="102"/>
      <c r="G76" s="33">
        <f t="shared" si="1"/>
        <v>17309760</v>
      </c>
      <c r="I76" s="18">
        <v>17309760</v>
      </c>
      <c r="J76" s="20"/>
    </row>
    <row r="77" spans="1:10" s="13" customFormat="1" ht="15.75">
      <c r="A77" s="27"/>
      <c r="B77" s="24"/>
      <c r="C77" s="108"/>
      <c r="D77" s="108"/>
      <c r="E77" s="110"/>
      <c r="F77" s="102"/>
      <c r="G77" s="42"/>
      <c r="I77" s="18"/>
      <c r="J77" s="20"/>
    </row>
    <row r="78" spans="1:10" s="4" customFormat="1" ht="15.75">
      <c r="A78" s="73">
        <v>2</v>
      </c>
      <c r="B78" s="40" t="s">
        <v>5</v>
      </c>
      <c r="C78" s="109">
        <f>SUM(C79,C84,C87,C95,C98)</f>
        <v>87512586</v>
      </c>
      <c r="D78" s="109">
        <f>SUM(D79,D84,D87,D95,D98)</f>
        <v>8864000</v>
      </c>
      <c r="E78" s="109">
        <f>SUM(E79,E84,E87,E95,E98)</f>
        <v>392735027</v>
      </c>
      <c r="F78" s="109">
        <f>SUM(F79,F84,F87,F95,F98)</f>
        <v>26297200</v>
      </c>
      <c r="G78" s="42">
        <f t="shared" si="1"/>
        <v>515408813</v>
      </c>
      <c r="I78" s="11">
        <f>SUM(I79,I84,I87,I95,I98)</f>
        <v>543773340</v>
      </c>
      <c r="J78" s="11">
        <f>SUM(J79,J84,J87,J95,J98)</f>
        <v>32230000</v>
      </c>
    </row>
    <row r="79" spans="1:10" s="13" customFormat="1" ht="15.75">
      <c r="A79" s="32" t="s">
        <v>156</v>
      </c>
      <c r="B79" s="26" t="s">
        <v>87</v>
      </c>
      <c r="C79" s="110">
        <f>SUM(C80:C83)</f>
        <v>49512507</v>
      </c>
      <c r="D79" s="110">
        <f>SUM(D80:D83)</f>
        <v>6150000</v>
      </c>
      <c r="E79" s="110">
        <f>SUM(E80:E83)</f>
        <v>295514966</v>
      </c>
      <c r="F79" s="110">
        <f>SUM(F80:F83)</f>
        <v>11480000</v>
      </c>
      <c r="G79" s="42">
        <f t="shared" si="1"/>
        <v>362657473</v>
      </c>
      <c r="I79" s="14">
        <f>SUM(I80:I83)</f>
        <v>366270353</v>
      </c>
      <c r="J79" s="14">
        <f>SUM(J80:J83)</f>
        <v>0</v>
      </c>
    </row>
    <row r="80" spans="1:10" s="19" customFormat="1" ht="15.75">
      <c r="A80" s="23" t="s">
        <v>88</v>
      </c>
      <c r="B80" s="16" t="s">
        <v>89</v>
      </c>
      <c r="C80" s="108">
        <v>34007707</v>
      </c>
      <c r="D80" s="108">
        <v>3000000</v>
      </c>
      <c r="E80" s="108">
        <f>254675036+3500000</f>
        <v>258175036</v>
      </c>
      <c r="F80" s="108">
        <v>8320000</v>
      </c>
      <c r="G80" s="33">
        <f t="shared" si="1"/>
        <v>303502743</v>
      </c>
      <c r="I80" s="18">
        <v>306115623</v>
      </c>
      <c r="J80" s="16"/>
    </row>
    <row r="81" spans="1:10" s="19" customFormat="1" ht="15.75">
      <c r="A81" s="23" t="s">
        <v>90</v>
      </c>
      <c r="B81" s="16" t="s">
        <v>91</v>
      </c>
      <c r="C81" s="108">
        <v>3244800</v>
      </c>
      <c r="D81" s="108"/>
      <c r="E81" s="108">
        <v>530000</v>
      </c>
      <c r="F81" s="78"/>
      <c r="G81" s="33">
        <f>SUM(C81,D81,E81,F82)</f>
        <v>6934800</v>
      </c>
      <c r="I81" s="18">
        <v>7934800</v>
      </c>
      <c r="J81" s="16"/>
    </row>
    <row r="82" spans="1:10" s="19" customFormat="1" ht="15.75">
      <c r="A82" s="23" t="s">
        <v>92</v>
      </c>
      <c r="B82" s="16" t="s">
        <v>93</v>
      </c>
      <c r="C82" s="108">
        <v>12000000</v>
      </c>
      <c r="D82" s="108">
        <v>3150000</v>
      </c>
      <c r="E82" s="108">
        <v>27697414</v>
      </c>
      <c r="F82" s="108">
        <f>4160000-1000000</f>
        <v>3160000</v>
      </c>
      <c r="G82" s="33">
        <f>SUM(C82,D82,E82,F83)</f>
        <v>42847414</v>
      </c>
      <c r="I82" s="18">
        <v>42847414</v>
      </c>
      <c r="J82" s="16"/>
    </row>
    <row r="83" spans="1:10" s="19" customFormat="1" ht="15.75">
      <c r="A83" s="16" t="s">
        <v>94</v>
      </c>
      <c r="B83" s="16" t="s">
        <v>6</v>
      </c>
      <c r="C83" s="108">
        <v>260000</v>
      </c>
      <c r="D83" s="108"/>
      <c r="E83" s="108">
        <v>9112516</v>
      </c>
      <c r="F83" s="108"/>
      <c r="G83" s="33">
        <f t="shared" si="1"/>
        <v>9372516</v>
      </c>
      <c r="I83" s="18">
        <v>9372516</v>
      </c>
      <c r="J83" s="16"/>
    </row>
    <row r="84" spans="1:10" s="13" customFormat="1" ht="15.75">
      <c r="A84" s="32" t="s">
        <v>157</v>
      </c>
      <c r="B84" s="26" t="s">
        <v>95</v>
      </c>
      <c r="C84" s="110">
        <f>SUM(C86+C85)</f>
        <v>1000000</v>
      </c>
      <c r="D84" s="110">
        <f>SUM(D86+D85)</f>
        <v>468000</v>
      </c>
      <c r="E84" s="110">
        <f>SUM(E86+E85)</f>
        <v>13483018</v>
      </c>
      <c r="F84" s="110">
        <f>SUM(F86+F85)</f>
        <v>2080000</v>
      </c>
      <c r="G84" s="102">
        <f t="shared" si="1"/>
        <v>17031018</v>
      </c>
      <c r="I84" s="14">
        <f>SUM(I85:I86)</f>
        <v>18627070</v>
      </c>
      <c r="J84" s="14">
        <f>SUM(J85:J86)</f>
        <v>0</v>
      </c>
    </row>
    <row r="85" spans="1:10" s="13" customFormat="1" ht="15.75">
      <c r="A85" s="27" t="s">
        <v>263</v>
      </c>
      <c r="B85" s="24" t="s">
        <v>264</v>
      </c>
      <c r="C85" s="108"/>
      <c r="D85" s="110"/>
      <c r="E85" s="108">
        <f>250000+10000000</f>
        <v>10250000</v>
      </c>
      <c r="F85" s="114"/>
      <c r="G85" s="33">
        <f t="shared" si="1"/>
        <v>10250000</v>
      </c>
      <c r="I85" s="18">
        <v>10250000</v>
      </c>
      <c r="J85" s="20"/>
    </row>
    <row r="86" spans="1:10" s="19" customFormat="1" ht="15.75">
      <c r="A86" s="27" t="s">
        <v>96</v>
      </c>
      <c r="B86" s="24" t="s">
        <v>97</v>
      </c>
      <c r="C86" s="108">
        <v>1000000</v>
      </c>
      <c r="D86" s="108">
        <v>468000</v>
      </c>
      <c r="E86" s="108">
        <v>3233018</v>
      </c>
      <c r="F86" s="107">
        <v>2080000</v>
      </c>
      <c r="G86" s="33">
        <f t="shared" si="1"/>
        <v>6781018</v>
      </c>
      <c r="I86" s="18">
        <v>8377070</v>
      </c>
      <c r="J86" s="16"/>
    </row>
    <row r="87" spans="1:10" s="13" customFormat="1" ht="15.75">
      <c r="A87" s="22" t="s">
        <v>158</v>
      </c>
      <c r="B87" s="20" t="s">
        <v>98</v>
      </c>
      <c r="C87" s="110">
        <f>SUM(C88:C94)</f>
        <v>10500000</v>
      </c>
      <c r="D87" s="110">
        <f>SUM(D88:D94)</f>
        <v>0</v>
      </c>
      <c r="E87" s="110">
        <f>SUM(E88:E94)</f>
        <v>5843694</v>
      </c>
      <c r="F87" s="110">
        <f>SUM(F88:F94)</f>
        <v>0</v>
      </c>
      <c r="G87" s="102">
        <f t="shared" si="1"/>
        <v>16343694</v>
      </c>
      <c r="I87" s="14">
        <f>SUM(I88:I94)</f>
        <v>19893475</v>
      </c>
      <c r="J87" s="14">
        <f>SUM(J88:J94)</f>
        <v>21230000</v>
      </c>
    </row>
    <row r="88" spans="1:10" s="13" customFormat="1" ht="15.75">
      <c r="A88" s="16" t="s">
        <v>99</v>
      </c>
      <c r="B88" s="16" t="s">
        <v>100</v>
      </c>
      <c r="C88" s="108">
        <v>1000000</v>
      </c>
      <c r="D88" s="108"/>
      <c r="E88" s="108">
        <v>1236233</v>
      </c>
      <c r="F88" s="110"/>
      <c r="G88" s="33">
        <f t="shared" si="1"/>
        <v>2236233</v>
      </c>
      <c r="I88" s="18">
        <v>4556014</v>
      </c>
      <c r="J88" s="11">
        <v>20000000</v>
      </c>
    </row>
    <row r="89" spans="1:10" s="19" customFormat="1" ht="15.75">
      <c r="A89" s="16" t="s">
        <v>101</v>
      </c>
      <c r="B89" s="16" t="s">
        <v>102</v>
      </c>
      <c r="C89" s="108">
        <v>5000000</v>
      </c>
      <c r="D89" s="108"/>
      <c r="E89" s="108">
        <v>1879461</v>
      </c>
      <c r="F89" s="33"/>
      <c r="G89" s="33">
        <f t="shared" si="1"/>
        <v>6879461</v>
      </c>
      <c r="I89" s="18">
        <v>6879461</v>
      </c>
      <c r="J89" s="16"/>
    </row>
    <row r="90" spans="1:10" s="19" customFormat="1" ht="15.75">
      <c r="A90" s="16" t="s">
        <v>265</v>
      </c>
      <c r="B90" s="16" t="s">
        <v>266</v>
      </c>
      <c r="C90" s="108"/>
      <c r="D90" s="108"/>
      <c r="E90" s="108">
        <v>1062000</v>
      </c>
      <c r="F90" s="33"/>
      <c r="G90" s="33">
        <f t="shared" si="1"/>
        <v>1062000</v>
      </c>
      <c r="I90" s="18">
        <v>1062000</v>
      </c>
      <c r="J90" s="16"/>
    </row>
    <row r="91" spans="1:10" s="19" customFormat="1" ht="15.75">
      <c r="A91" s="16" t="s">
        <v>103</v>
      </c>
      <c r="B91" s="16" t="s">
        <v>104</v>
      </c>
      <c r="C91" s="108">
        <v>3000000</v>
      </c>
      <c r="D91" s="108"/>
      <c r="E91" s="108">
        <v>1000000</v>
      </c>
      <c r="F91" s="33"/>
      <c r="G91" s="33">
        <f t="shared" si="1"/>
        <v>4000000</v>
      </c>
      <c r="I91" s="18">
        <v>5230000</v>
      </c>
      <c r="J91" s="18">
        <v>1230000</v>
      </c>
    </row>
    <row r="92" spans="1:10" s="19" customFormat="1" ht="15.75">
      <c r="A92" s="16" t="s">
        <v>267</v>
      </c>
      <c r="B92" s="16" t="s">
        <v>268</v>
      </c>
      <c r="C92" s="108">
        <v>500000</v>
      </c>
      <c r="D92" s="108"/>
      <c r="E92" s="108">
        <v>208000</v>
      </c>
      <c r="F92" s="33"/>
      <c r="G92" s="33">
        <f t="shared" si="1"/>
        <v>708000</v>
      </c>
      <c r="I92" s="18">
        <v>708000</v>
      </c>
      <c r="J92" s="16"/>
    </row>
    <row r="93" spans="1:10" s="19" customFormat="1" ht="15.75">
      <c r="A93" s="16" t="s">
        <v>105</v>
      </c>
      <c r="B93" s="16" t="s">
        <v>106</v>
      </c>
      <c r="C93" s="108">
        <v>500000</v>
      </c>
      <c r="D93" s="108"/>
      <c r="E93" s="108">
        <v>208000</v>
      </c>
      <c r="F93" s="33"/>
      <c r="G93" s="33">
        <f t="shared" si="1"/>
        <v>708000</v>
      </c>
      <c r="I93" s="18">
        <v>708000</v>
      </c>
      <c r="J93" s="16"/>
    </row>
    <row r="94" spans="1:10" s="19" customFormat="1" ht="15.75">
      <c r="A94" s="16" t="s">
        <v>269</v>
      </c>
      <c r="B94" s="16" t="s">
        <v>270</v>
      </c>
      <c r="C94" s="108">
        <v>500000</v>
      </c>
      <c r="D94" s="108"/>
      <c r="E94" s="108">
        <v>250000</v>
      </c>
      <c r="F94" s="33"/>
      <c r="G94" s="33">
        <f t="shared" si="1"/>
        <v>750000</v>
      </c>
      <c r="I94" s="18">
        <v>750000</v>
      </c>
      <c r="J94" s="16"/>
    </row>
    <row r="95" spans="1:10" s="13" customFormat="1" ht="15.75">
      <c r="A95" s="22" t="s">
        <v>159</v>
      </c>
      <c r="B95" s="20" t="s">
        <v>107</v>
      </c>
      <c r="C95" s="110">
        <f>SUM(C96:C97)</f>
        <v>10171200</v>
      </c>
      <c r="D95" s="110">
        <f>SUM(D96:D97)</f>
        <v>1200000</v>
      </c>
      <c r="E95" s="110">
        <f>SUM(E96:E97)</f>
        <v>46697547</v>
      </c>
      <c r="F95" s="110">
        <f>SUM(F96:F97)</f>
        <v>10120000</v>
      </c>
      <c r="G95" s="102">
        <f t="shared" si="1"/>
        <v>68188747</v>
      </c>
      <c r="I95" s="14">
        <f>SUM(I96:I97)</f>
        <v>79188747</v>
      </c>
      <c r="J95" s="14">
        <f>SUM(J96:J97)</f>
        <v>10000000</v>
      </c>
    </row>
    <row r="96" spans="1:10" s="13" customFormat="1" ht="15.75">
      <c r="A96" s="16" t="s">
        <v>108</v>
      </c>
      <c r="B96" s="16" t="s">
        <v>109</v>
      </c>
      <c r="C96" s="108">
        <v>3172000</v>
      </c>
      <c r="D96" s="110"/>
      <c r="E96" s="108">
        <v>5706000</v>
      </c>
      <c r="F96" s="110"/>
      <c r="G96" s="33">
        <f t="shared" si="1"/>
        <v>8878000</v>
      </c>
      <c r="I96" s="18">
        <v>3878000</v>
      </c>
      <c r="J96" s="20"/>
    </row>
    <row r="97" spans="1:10" s="19" customFormat="1" ht="15.75">
      <c r="A97" s="16" t="s">
        <v>110</v>
      </c>
      <c r="B97" s="16" t="s">
        <v>111</v>
      </c>
      <c r="C97" s="108">
        <v>6999200</v>
      </c>
      <c r="D97" s="108">
        <v>1200000</v>
      </c>
      <c r="E97" s="108">
        <v>40991547</v>
      </c>
      <c r="F97" s="108">
        <f>16120000-6000000</f>
        <v>10120000</v>
      </c>
      <c r="G97" s="33">
        <f t="shared" si="1"/>
        <v>59310747</v>
      </c>
      <c r="I97" s="18">
        <v>75310747</v>
      </c>
      <c r="J97" s="18">
        <v>10000000</v>
      </c>
    </row>
    <row r="98" spans="1:10" s="13" customFormat="1" ht="15.75">
      <c r="A98" s="22" t="s">
        <v>160</v>
      </c>
      <c r="B98" s="20" t="s">
        <v>112</v>
      </c>
      <c r="C98" s="110">
        <f>SUM(C99:C106)</f>
        <v>16328879</v>
      </c>
      <c r="D98" s="110">
        <f>SUM(D99:D106)</f>
        <v>1046000</v>
      </c>
      <c r="E98" s="110">
        <f>SUM(E99:E106)</f>
        <v>31195802</v>
      </c>
      <c r="F98" s="110">
        <f>SUM(F99:F106)</f>
        <v>2617200</v>
      </c>
      <c r="G98" s="102">
        <f t="shared" si="1"/>
        <v>51187881</v>
      </c>
      <c r="I98" s="14">
        <f>SUM(I99:I106)</f>
        <v>59793695</v>
      </c>
      <c r="J98" s="14">
        <f>SUM(J99:J106)</f>
        <v>1000000</v>
      </c>
    </row>
    <row r="99" spans="1:10" s="19" customFormat="1" ht="15.75">
      <c r="A99" s="16" t="s">
        <v>114</v>
      </c>
      <c r="B99" s="16" t="s">
        <v>113</v>
      </c>
      <c r="C99" s="108">
        <v>4000000</v>
      </c>
      <c r="D99" s="108">
        <v>416000</v>
      </c>
      <c r="E99" s="108">
        <v>9785746</v>
      </c>
      <c r="F99" s="108">
        <v>1000000</v>
      </c>
      <c r="G99" s="33">
        <f t="shared" si="1"/>
        <v>15201746</v>
      </c>
      <c r="I99" s="18">
        <v>16281746</v>
      </c>
      <c r="J99" s="16"/>
    </row>
    <row r="100" spans="1:10" s="19" customFormat="1" ht="15.75">
      <c r="A100" s="16" t="s">
        <v>115</v>
      </c>
      <c r="B100" s="16" t="s">
        <v>261</v>
      </c>
      <c r="C100" s="108">
        <v>969835</v>
      </c>
      <c r="D100" s="108"/>
      <c r="E100" s="108"/>
      <c r="F100" s="108"/>
      <c r="G100" s="33">
        <f t="shared" si="1"/>
        <v>969835</v>
      </c>
      <c r="I100" s="18">
        <v>969835</v>
      </c>
      <c r="J100" s="16"/>
    </row>
    <row r="101" spans="1:10" s="19" customFormat="1" ht="15.75">
      <c r="A101" s="16" t="s">
        <v>116</v>
      </c>
      <c r="B101" s="16" t="s">
        <v>117</v>
      </c>
      <c r="C101" s="108">
        <v>1220092</v>
      </c>
      <c r="D101" s="108">
        <v>540000</v>
      </c>
      <c r="E101" s="108">
        <v>14755080</v>
      </c>
      <c r="F101" s="108">
        <v>598000</v>
      </c>
      <c r="G101" s="33">
        <f t="shared" si="1"/>
        <v>17113172</v>
      </c>
      <c r="I101" s="18">
        <v>22893080</v>
      </c>
      <c r="J101" s="16"/>
    </row>
    <row r="102" spans="1:10" s="19" customFormat="1" ht="15.75">
      <c r="A102" s="16" t="s">
        <v>118</v>
      </c>
      <c r="B102" s="16" t="s">
        <v>119</v>
      </c>
      <c r="C102" s="107">
        <v>2500000</v>
      </c>
      <c r="D102" s="108"/>
      <c r="E102" s="108">
        <v>784160</v>
      </c>
      <c r="F102" s="108">
        <v>364000</v>
      </c>
      <c r="G102" s="33">
        <f t="shared" si="1"/>
        <v>3648160</v>
      </c>
      <c r="I102" s="18">
        <v>5394066</v>
      </c>
      <c r="J102" s="18">
        <v>1000000</v>
      </c>
    </row>
    <row r="103" spans="1:10" s="19" customFormat="1" ht="15.75">
      <c r="A103" s="16" t="s">
        <v>120</v>
      </c>
      <c r="B103" s="16" t="s">
        <v>7</v>
      </c>
      <c r="C103" s="108">
        <v>1517352</v>
      </c>
      <c r="D103" s="108">
        <v>90000</v>
      </c>
      <c r="E103" s="108">
        <v>5245816</v>
      </c>
      <c r="F103" s="108">
        <v>208000</v>
      </c>
      <c r="G103" s="33">
        <f t="shared" si="1"/>
        <v>7061168</v>
      </c>
      <c r="I103" s="18">
        <v>7061168</v>
      </c>
      <c r="J103" s="16"/>
    </row>
    <row r="104" spans="1:10" s="19" customFormat="1" ht="15.75">
      <c r="A104" s="16" t="s">
        <v>180</v>
      </c>
      <c r="B104" s="16" t="s">
        <v>181</v>
      </c>
      <c r="C104" s="108">
        <v>2000000</v>
      </c>
      <c r="D104" s="108"/>
      <c r="E104" s="108">
        <v>450000</v>
      </c>
      <c r="F104" s="108"/>
      <c r="G104" s="33">
        <f t="shared" si="1"/>
        <v>2450000</v>
      </c>
      <c r="I104" s="18">
        <v>2450000</v>
      </c>
      <c r="J104" s="16"/>
    </row>
    <row r="105" spans="1:10" s="19" customFormat="1" ht="15.75">
      <c r="A105" s="16" t="s">
        <v>121</v>
      </c>
      <c r="B105" s="16" t="s">
        <v>124</v>
      </c>
      <c r="C105" s="108">
        <v>2121600</v>
      </c>
      <c r="D105" s="108"/>
      <c r="E105" s="108"/>
      <c r="F105" s="108">
        <v>156000</v>
      </c>
      <c r="G105" s="33">
        <f t="shared" si="1"/>
        <v>2277600</v>
      </c>
      <c r="I105" s="18">
        <v>2277600</v>
      </c>
      <c r="J105" s="16"/>
    </row>
    <row r="106" spans="1:10" s="19" customFormat="1" ht="15.75">
      <c r="A106" s="16" t="s">
        <v>122</v>
      </c>
      <c r="B106" s="16" t="s">
        <v>123</v>
      </c>
      <c r="C106" s="107">
        <v>2000000</v>
      </c>
      <c r="D106" s="107"/>
      <c r="E106" s="107">
        <v>175000</v>
      </c>
      <c r="F106" s="107">
        <v>291200</v>
      </c>
      <c r="G106" s="33">
        <f t="shared" si="1"/>
        <v>2466200</v>
      </c>
      <c r="I106" s="18">
        <v>2466200</v>
      </c>
      <c r="J106" s="16"/>
    </row>
    <row r="107" spans="1:10" s="19" customFormat="1" ht="15.75" hidden="1">
      <c r="A107" s="16"/>
      <c r="B107" s="16"/>
      <c r="C107" s="107"/>
      <c r="D107" s="107"/>
      <c r="E107" s="107"/>
      <c r="F107" s="107"/>
      <c r="G107" s="33">
        <f t="shared" si="1"/>
        <v>0</v>
      </c>
      <c r="I107" s="18"/>
      <c r="J107" s="16"/>
    </row>
    <row r="108" spans="1:10" s="44" customFormat="1" ht="15.75" hidden="1">
      <c r="A108" s="8">
        <v>3</v>
      </c>
      <c r="B108" s="8" t="s">
        <v>256</v>
      </c>
      <c r="C108" s="115">
        <f>SUM(C109)</f>
        <v>0</v>
      </c>
      <c r="D108" s="115">
        <f>SUM(D109)</f>
        <v>0</v>
      </c>
      <c r="E108" s="115">
        <f>SUM(E109)</f>
        <v>0</v>
      </c>
      <c r="F108" s="115">
        <f>SUM(F109)</f>
        <v>0</v>
      </c>
      <c r="G108" s="33">
        <f t="shared" si="1"/>
        <v>0</v>
      </c>
      <c r="I108" s="43">
        <f>SUM(I109)</f>
        <v>0</v>
      </c>
      <c r="J108" s="43">
        <f>SUM(J109)</f>
        <v>7702013</v>
      </c>
    </row>
    <row r="109" spans="1:10" s="19" customFormat="1" ht="15.75" hidden="1">
      <c r="A109" s="16" t="s">
        <v>257</v>
      </c>
      <c r="B109" s="16" t="s">
        <v>258</v>
      </c>
      <c r="C109" s="107"/>
      <c r="D109" s="107"/>
      <c r="E109" s="107"/>
      <c r="F109" s="107"/>
      <c r="G109" s="33">
        <f t="shared" si="1"/>
        <v>0</v>
      </c>
      <c r="J109" s="18">
        <v>7702013</v>
      </c>
    </row>
    <row r="110" spans="1:10" s="19" customFormat="1" ht="15.75">
      <c r="A110" s="16"/>
      <c r="B110" s="16"/>
      <c r="C110" s="107"/>
      <c r="D110" s="107"/>
      <c r="E110" s="107"/>
      <c r="F110" s="107"/>
      <c r="G110" s="33"/>
      <c r="J110" s="18"/>
    </row>
    <row r="111" spans="1:10" s="4" customFormat="1" ht="15.75">
      <c r="A111" s="8">
        <v>3</v>
      </c>
      <c r="B111" s="21" t="s">
        <v>256</v>
      </c>
      <c r="C111" s="109">
        <f>SUM(C112)</f>
        <v>7702013</v>
      </c>
      <c r="D111" s="109">
        <f>SUM(D112)</f>
        <v>0</v>
      </c>
      <c r="E111" s="109">
        <f>SUM(E112)</f>
        <v>0</v>
      </c>
      <c r="F111" s="109">
        <f>SUM(F112)</f>
        <v>0</v>
      </c>
      <c r="G111" s="42">
        <f t="shared" si="1"/>
        <v>7702013</v>
      </c>
      <c r="J111" s="11"/>
    </row>
    <row r="112" spans="1:10" s="19" customFormat="1" ht="15.75">
      <c r="A112" s="16" t="s">
        <v>257</v>
      </c>
      <c r="B112" s="16" t="s">
        <v>453</v>
      </c>
      <c r="C112" s="107">
        <v>7702013</v>
      </c>
      <c r="D112" s="107"/>
      <c r="E112" s="107"/>
      <c r="F112" s="107"/>
      <c r="G112" s="33">
        <f t="shared" si="1"/>
        <v>7702013</v>
      </c>
      <c r="J112" s="18"/>
    </row>
    <row r="113" spans="1:10" s="19" customFormat="1" ht="15.75">
      <c r="A113" s="16"/>
      <c r="B113" s="16"/>
      <c r="C113" s="107"/>
      <c r="D113" s="107"/>
      <c r="E113" s="107"/>
      <c r="F113" s="107"/>
      <c r="G113" s="42"/>
      <c r="J113" s="18"/>
    </row>
    <row r="114" spans="1:10" s="4" customFormat="1" ht="15.75">
      <c r="A114" s="8">
        <v>5</v>
      </c>
      <c r="B114" s="21" t="s">
        <v>125</v>
      </c>
      <c r="C114" s="109">
        <f>SUM(C115,C124)</f>
        <v>152000000</v>
      </c>
      <c r="D114" s="109">
        <f>SUM(D115,D124)</f>
        <v>2000000</v>
      </c>
      <c r="E114" s="109">
        <f>SUM(E115,E124)</f>
        <v>416643230</v>
      </c>
      <c r="F114" s="109">
        <f>SUM(F115,F124)</f>
        <v>75779000</v>
      </c>
      <c r="G114" s="42">
        <f t="shared" si="1"/>
        <v>646422230</v>
      </c>
      <c r="I114" s="11">
        <f>SUM(I115,I124)</f>
        <v>465277176</v>
      </c>
      <c r="J114" s="11" t="e">
        <f>SUM(J115,J124)</f>
        <v>#REF!</v>
      </c>
    </row>
    <row r="115" spans="1:10" s="13" customFormat="1" ht="15.75">
      <c r="A115" s="22" t="s">
        <v>291</v>
      </c>
      <c r="B115" s="20" t="s">
        <v>284</v>
      </c>
      <c r="C115" s="54">
        <f>SUM(C116:C123)</f>
        <v>62000000</v>
      </c>
      <c r="D115" s="54">
        <f>SUM(D116:D123)</f>
        <v>2000000</v>
      </c>
      <c r="E115" s="54">
        <f>SUM(E116:E123)</f>
        <v>416643230</v>
      </c>
      <c r="F115" s="54">
        <f>SUM(F116:F123)</f>
        <v>4500000</v>
      </c>
      <c r="G115" s="102">
        <f t="shared" si="1"/>
        <v>485143230</v>
      </c>
      <c r="I115" s="14">
        <f>SUM(I117:I123)</f>
        <v>465277176</v>
      </c>
      <c r="J115" s="14">
        <f>SUM(J117:J123)</f>
        <v>0</v>
      </c>
    </row>
    <row r="116" spans="1:10" s="19" customFormat="1" ht="15.75" hidden="1">
      <c r="A116" s="23" t="s">
        <v>237</v>
      </c>
      <c r="B116" s="16" t="s">
        <v>238</v>
      </c>
      <c r="C116" s="107"/>
      <c r="D116" s="107"/>
      <c r="E116" s="107"/>
      <c r="F116" s="107"/>
      <c r="G116" s="42">
        <f t="shared" si="1"/>
        <v>0</v>
      </c>
      <c r="I116" s="18">
        <v>0</v>
      </c>
      <c r="J116" s="16"/>
    </row>
    <row r="117" spans="1:12" s="19" customFormat="1" ht="15.75">
      <c r="A117" s="23" t="s">
        <v>271</v>
      </c>
      <c r="B117" s="16" t="s">
        <v>272</v>
      </c>
      <c r="C117" s="107"/>
      <c r="D117" s="107"/>
      <c r="E117" s="107">
        <v>313277230</v>
      </c>
      <c r="F117" s="107"/>
      <c r="G117" s="33">
        <f t="shared" si="1"/>
        <v>313277230</v>
      </c>
      <c r="I117" s="18">
        <v>334111176</v>
      </c>
      <c r="J117" s="16"/>
      <c r="L117" s="34"/>
    </row>
    <row r="118" spans="1:12" s="19" customFormat="1" ht="15.75">
      <c r="A118" s="16" t="s">
        <v>126</v>
      </c>
      <c r="B118" s="16" t="s">
        <v>127</v>
      </c>
      <c r="C118" s="107">
        <v>60000000</v>
      </c>
      <c r="D118" s="116"/>
      <c r="E118" s="46">
        <v>13870000</v>
      </c>
      <c r="F118" s="46"/>
      <c r="G118" s="33">
        <f t="shared" si="1"/>
        <v>73870000</v>
      </c>
      <c r="I118" s="18">
        <v>29370000</v>
      </c>
      <c r="J118" s="16"/>
      <c r="L118" s="78"/>
    </row>
    <row r="119" spans="1:10" s="19" customFormat="1" ht="15.75">
      <c r="A119" s="16" t="s">
        <v>128</v>
      </c>
      <c r="B119" s="16" t="s">
        <v>129</v>
      </c>
      <c r="C119" s="107">
        <v>2000000</v>
      </c>
      <c r="D119" s="107">
        <v>500000</v>
      </c>
      <c r="E119" s="46">
        <v>14700000</v>
      </c>
      <c r="F119" s="46">
        <v>2000000</v>
      </c>
      <c r="G119" s="33">
        <f t="shared" si="1"/>
        <v>19200000</v>
      </c>
      <c r="I119" s="18">
        <v>21500000</v>
      </c>
      <c r="J119" s="16"/>
    </row>
    <row r="120" spans="1:10" s="19" customFormat="1" ht="15.75">
      <c r="A120" s="16" t="s">
        <v>273</v>
      </c>
      <c r="B120" s="16" t="s">
        <v>274</v>
      </c>
      <c r="C120" s="46"/>
      <c r="D120" s="107">
        <v>1500000</v>
      </c>
      <c r="E120" s="46">
        <v>62976000</v>
      </c>
      <c r="F120" s="46">
        <v>2500000</v>
      </c>
      <c r="G120" s="33">
        <f t="shared" si="1"/>
        <v>66976000</v>
      </c>
      <c r="I120" s="18">
        <v>68476000</v>
      </c>
      <c r="J120" s="16"/>
    </row>
    <row r="121" spans="1:10" s="19" customFormat="1" ht="15.75">
      <c r="A121" s="16" t="s">
        <v>287</v>
      </c>
      <c r="B121" s="16" t="s">
        <v>288</v>
      </c>
      <c r="C121" s="46"/>
      <c r="D121" s="107"/>
      <c r="E121" s="46">
        <v>3800000</v>
      </c>
      <c r="F121" s="46"/>
      <c r="G121" s="33">
        <f t="shared" si="1"/>
        <v>3800000</v>
      </c>
      <c r="I121" s="18">
        <v>3800000</v>
      </c>
      <c r="J121" s="16"/>
    </row>
    <row r="122" spans="1:10" s="19" customFormat="1" ht="15.75">
      <c r="A122" s="16" t="s">
        <v>289</v>
      </c>
      <c r="B122" s="16" t="s">
        <v>290</v>
      </c>
      <c r="C122" s="46"/>
      <c r="D122" s="107"/>
      <c r="E122" s="46">
        <v>500000</v>
      </c>
      <c r="F122" s="46"/>
      <c r="G122" s="33">
        <f t="shared" si="1"/>
        <v>500000</v>
      </c>
      <c r="I122" s="18">
        <v>500000</v>
      </c>
      <c r="J122" s="16"/>
    </row>
    <row r="123" spans="1:10" s="19" customFormat="1" ht="15.75">
      <c r="A123" s="16" t="s">
        <v>130</v>
      </c>
      <c r="B123" s="16" t="s">
        <v>131</v>
      </c>
      <c r="C123" s="108"/>
      <c r="D123" s="108"/>
      <c r="E123" s="33">
        <v>7520000</v>
      </c>
      <c r="F123" s="33"/>
      <c r="G123" s="33">
        <f t="shared" si="1"/>
        <v>7520000</v>
      </c>
      <c r="I123" s="18">
        <v>7520000</v>
      </c>
      <c r="J123" s="16"/>
    </row>
    <row r="124" spans="1:10" s="13" customFormat="1" ht="15.75">
      <c r="A124" s="32" t="s">
        <v>297</v>
      </c>
      <c r="B124" s="20" t="s">
        <v>216</v>
      </c>
      <c r="C124" s="110">
        <f>SUM(C125:C126)</f>
        <v>90000000</v>
      </c>
      <c r="D124" s="108">
        <f>SUM(D126:D126)</f>
        <v>0</v>
      </c>
      <c r="E124" s="110">
        <f>SUM(E126:E126)</f>
        <v>0</v>
      </c>
      <c r="F124" s="110">
        <f>SUM(J126:J126)</f>
        <v>71279000</v>
      </c>
      <c r="G124" s="102">
        <f t="shared" si="1"/>
        <v>161279000</v>
      </c>
      <c r="I124" s="14">
        <f>SUM(I126)</f>
        <v>0</v>
      </c>
      <c r="J124" s="14" t="e">
        <f>SUM(#REF!)</f>
        <v>#REF!</v>
      </c>
    </row>
    <row r="125" spans="1:10" s="19" customFormat="1" ht="15.75">
      <c r="A125" s="27" t="s">
        <v>428</v>
      </c>
      <c r="B125" s="16" t="s">
        <v>454</v>
      </c>
      <c r="C125" s="108">
        <v>90000000</v>
      </c>
      <c r="D125" s="108"/>
      <c r="E125" s="108"/>
      <c r="F125" s="108"/>
      <c r="G125" s="33">
        <f t="shared" si="1"/>
        <v>90000000</v>
      </c>
      <c r="I125" s="18"/>
      <c r="J125" s="18"/>
    </row>
    <row r="126" spans="1:10" s="19" customFormat="1" ht="15.75">
      <c r="A126" s="27" t="s">
        <v>242</v>
      </c>
      <c r="B126" s="16" t="s">
        <v>243</v>
      </c>
      <c r="C126" s="108"/>
      <c r="D126" s="108"/>
      <c r="E126" s="108"/>
      <c r="F126" s="78">
        <v>71279000</v>
      </c>
      <c r="G126" s="33">
        <f t="shared" si="1"/>
        <v>71279000</v>
      </c>
      <c r="I126" s="18"/>
      <c r="J126" s="18">
        <v>71279000</v>
      </c>
    </row>
    <row r="127" spans="1:10" s="19" customFormat="1" ht="15.75">
      <c r="A127" s="27"/>
      <c r="B127" s="16"/>
      <c r="C127" s="108"/>
      <c r="D127" s="108"/>
      <c r="E127" s="108"/>
      <c r="F127" s="108"/>
      <c r="G127" s="42"/>
      <c r="I127" s="18"/>
      <c r="J127" s="16"/>
    </row>
    <row r="128" spans="1:10" s="4" customFormat="1" ht="15.75">
      <c r="A128" s="8">
        <v>6</v>
      </c>
      <c r="B128" s="21" t="s">
        <v>12</v>
      </c>
      <c r="C128" s="112">
        <f>SUM(C129,C145,C147:C147,C158,)</f>
        <v>18146837746</v>
      </c>
      <c r="D128" s="112">
        <f>SUM(D129,D145,D147:D147,D158,)</f>
        <v>16971021</v>
      </c>
      <c r="E128" s="112">
        <f>SUM(E129,E145,E147:E147,E158,)</f>
        <v>213732556</v>
      </c>
      <c r="F128" s="112">
        <f>SUM(F129,F145,F147:F147,F158,)</f>
        <v>0</v>
      </c>
      <c r="G128" s="42">
        <f t="shared" si="1"/>
        <v>18377541323</v>
      </c>
      <c r="I128" s="11" t="e">
        <f>SUM(I129,I145,I147,#REF!,I150,)</f>
        <v>#REF!</v>
      </c>
      <c r="J128" s="11" t="e">
        <f>SUM(J129,J145,J147,#REF!,J150,)</f>
        <v>#REF!</v>
      </c>
    </row>
    <row r="129" spans="1:10" s="13" customFormat="1" ht="15.75">
      <c r="A129" s="22" t="s">
        <v>147</v>
      </c>
      <c r="B129" s="20" t="s">
        <v>133</v>
      </c>
      <c r="C129" s="110">
        <f>SUM(C130,C136,C143)</f>
        <v>17628491598</v>
      </c>
      <c r="D129" s="110">
        <f>SUM(D130,D136)</f>
        <v>6971021</v>
      </c>
      <c r="E129" s="110">
        <f>SUM(E130,E136)</f>
        <v>188988202</v>
      </c>
      <c r="F129" s="110">
        <f>SUM(F130,F136)</f>
        <v>0</v>
      </c>
      <c r="G129" s="42">
        <f t="shared" si="1"/>
        <v>17824450821</v>
      </c>
      <c r="I129" s="14">
        <f>SUM(I130,I136)</f>
        <v>15575655033</v>
      </c>
      <c r="J129" s="14">
        <f>SUM(J130,J136)</f>
        <v>0</v>
      </c>
    </row>
    <row r="130" spans="1:10" s="25" customFormat="1" ht="15.75">
      <c r="A130" s="40" t="s">
        <v>195</v>
      </c>
      <c r="B130" s="40" t="s">
        <v>196</v>
      </c>
      <c r="C130" s="109">
        <f>SUM(C131:C135)</f>
        <v>9352712000</v>
      </c>
      <c r="D130" s="109">
        <f>SUM(D131:D135)</f>
        <v>0</v>
      </c>
      <c r="E130" s="109">
        <f>SUM(E131:E135)</f>
        <v>0</v>
      </c>
      <c r="F130" s="109">
        <f>SUM(F131:F135)</f>
        <v>0</v>
      </c>
      <c r="G130" s="42">
        <f t="shared" si="1"/>
        <v>9352712000</v>
      </c>
      <c r="I130" s="167">
        <f>SUM(I131:I135)</f>
        <v>9346376000</v>
      </c>
      <c r="J130" s="167">
        <f>SUM(J131:J135)</f>
        <v>0</v>
      </c>
    </row>
    <row r="131" spans="1:10" s="25" customFormat="1" ht="15.75">
      <c r="A131" s="24" t="s">
        <v>225</v>
      </c>
      <c r="B131" s="24" t="s">
        <v>226</v>
      </c>
      <c r="C131" s="108">
        <v>312000000</v>
      </c>
      <c r="D131" s="108"/>
      <c r="E131" s="54"/>
      <c r="F131" s="113"/>
      <c r="G131" s="33">
        <f t="shared" si="1"/>
        <v>312000000</v>
      </c>
      <c r="I131" s="17">
        <v>312000000</v>
      </c>
      <c r="J131" s="26"/>
    </row>
    <row r="132" spans="1:10" s="25" customFormat="1" ht="15.75">
      <c r="A132" s="24" t="s">
        <v>227</v>
      </c>
      <c r="B132" s="24" t="s">
        <v>229</v>
      </c>
      <c r="C132" s="107">
        <v>1144000000</v>
      </c>
      <c r="D132" s="107"/>
      <c r="E132" s="54"/>
      <c r="F132" s="113"/>
      <c r="G132" s="33">
        <f t="shared" si="1"/>
        <v>1144000000</v>
      </c>
      <c r="I132" s="17">
        <v>1144000000</v>
      </c>
      <c r="J132" s="26"/>
    </row>
    <row r="133" spans="1:10" s="36" customFormat="1" ht="15.75">
      <c r="A133" s="24" t="s">
        <v>228</v>
      </c>
      <c r="B133" s="24" t="s">
        <v>230</v>
      </c>
      <c r="C133" s="107">
        <v>7761000000</v>
      </c>
      <c r="D133" s="107"/>
      <c r="E133" s="109"/>
      <c r="F133" s="68"/>
      <c r="G133" s="33">
        <f t="shared" si="1"/>
        <v>7761000000</v>
      </c>
      <c r="I133" s="17">
        <v>7761000000</v>
      </c>
      <c r="J133" s="40"/>
    </row>
    <row r="134" spans="1:10" s="36" customFormat="1" ht="15.75">
      <c r="A134" s="27" t="s">
        <v>234</v>
      </c>
      <c r="B134" s="24" t="s">
        <v>235</v>
      </c>
      <c r="C134" s="107">
        <f>72800000*4%+72800000</f>
        <v>75712000</v>
      </c>
      <c r="D134" s="107"/>
      <c r="E134" s="109"/>
      <c r="F134" s="68"/>
      <c r="G134" s="33">
        <f t="shared" si="1"/>
        <v>75712000</v>
      </c>
      <c r="I134" s="17">
        <v>75712000</v>
      </c>
      <c r="J134" s="40"/>
    </row>
    <row r="135" spans="1:10" s="36" customFormat="1" ht="15.75">
      <c r="A135" s="16" t="s">
        <v>247</v>
      </c>
      <c r="B135" s="24" t="s">
        <v>275</v>
      </c>
      <c r="C135" s="107">
        <v>60000000</v>
      </c>
      <c r="D135" s="108"/>
      <c r="E135" s="109"/>
      <c r="F135" s="68"/>
      <c r="G135" s="33">
        <f t="shared" si="1"/>
        <v>60000000</v>
      </c>
      <c r="I135" s="17">
        <v>53664000</v>
      </c>
      <c r="J135" s="40"/>
    </row>
    <row r="136" spans="1:10" s="36" customFormat="1" ht="15.75">
      <c r="A136" s="40" t="s">
        <v>132</v>
      </c>
      <c r="B136" s="40" t="s">
        <v>134</v>
      </c>
      <c r="C136" s="109">
        <f>SUM(C137:C142)</f>
        <v>6025779598</v>
      </c>
      <c r="D136" s="109">
        <f>SUM(D137:D142)</f>
        <v>6971021</v>
      </c>
      <c r="E136" s="109">
        <f>SUM(E137:E142)</f>
        <v>188988202</v>
      </c>
      <c r="F136" s="109">
        <f>SUM(F137:F142)</f>
        <v>0</v>
      </c>
      <c r="G136" s="42">
        <f t="shared" si="1"/>
        <v>6221738821</v>
      </c>
      <c r="I136" s="10">
        <f>SUM(I137:I142)</f>
        <v>6229279033</v>
      </c>
      <c r="J136" s="10">
        <f>SUM(J137:J142)</f>
        <v>0</v>
      </c>
    </row>
    <row r="137" spans="1:10" ht="15.75">
      <c r="A137" s="16" t="s">
        <v>231</v>
      </c>
      <c r="B137" s="24" t="s">
        <v>210</v>
      </c>
      <c r="C137" s="108">
        <v>32619478</v>
      </c>
      <c r="D137" s="108">
        <v>4871316</v>
      </c>
      <c r="E137" s="108">
        <v>48033924</v>
      </c>
      <c r="F137" s="117"/>
      <c r="G137" s="33">
        <f t="shared" si="1"/>
        <v>85524718</v>
      </c>
      <c r="I137" s="18">
        <v>85622698</v>
      </c>
      <c r="J137" s="41"/>
    </row>
    <row r="138" spans="1:10" ht="15.75">
      <c r="A138" s="16" t="s">
        <v>232</v>
      </c>
      <c r="B138" s="24" t="s">
        <v>211</v>
      </c>
      <c r="C138" s="108">
        <v>14060120</v>
      </c>
      <c r="D138" s="108">
        <v>2099705</v>
      </c>
      <c r="E138" s="108">
        <v>20704278</v>
      </c>
      <c r="F138" s="117"/>
      <c r="G138" s="33">
        <f t="shared" si="1"/>
        <v>36864103</v>
      </c>
      <c r="I138" s="18">
        <v>36906335</v>
      </c>
      <c r="J138" s="41"/>
    </row>
    <row r="139" spans="1:10" ht="15.75">
      <c r="A139" s="24" t="s">
        <v>253</v>
      </c>
      <c r="B139" s="24" t="s">
        <v>262</v>
      </c>
      <c r="C139" s="108">
        <v>15100000</v>
      </c>
      <c r="D139" s="108"/>
      <c r="E139" s="108"/>
      <c r="F139" s="117"/>
      <c r="G139" s="33">
        <f t="shared" si="1"/>
        <v>15100000</v>
      </c>
      <c r="I139" s="65">
        <v>0</v>
      </c>
      <c r="J139" s="41"/>
    </row>
    <row r="140" spans="1:10" s="19" customFormat="1" ht="15.75">
      <c r="A140" s="23" t="s">
        <v>212</v>
      </c>
      <c r="B140" s="24" t="s">
        <v>213</v>
      </c>
      <c r="C140" s="107">
        <v>2198000000</v>
      </c>
      <c r="D140" s="107"/>
      <c r="E140" s="107"/>
      <c r="F140" s="46"/>
      <c r="G140" s="33">
        <f t="shared" si="1"/>
        <v>2198000000</v>
      </c>
      <c r="I140" s="18">
        <v>2198000000</v>
      </c>
      <c r="J140" s="16"/>
    </row>
    <row r="141" spans="1:10" s="19" customFormat="1" ht="15.75">
      <c r="A141" s="23" t="s">
        <v>214</v>
      </c>
      <c r="B141" s="24" t="s">
        <v>215</v>
      </c>
      <c r="C141" s="107">
        <v>3766000000</v>
      </c>
      <c r="D141" s="107"/>
      <c r="E141" s="107"/>
      <c r="F141" s="46"/>
      <c r="G141" s="33">
        <f aca="true" t="shared" si="2" ref="G141:G181">SUM(C141,D141,E141,F141)</f>
        <v>3766000000</v>
      </c>
      <c r="I141" s="18">
        <v>3766000000</v>
      </c>
      <c r="J141" s="16"/>
    </row>
    <row r="142" spans="1:9" s="19" customFormat="1" ht="15.75">
      <c r="A142" s="27" t="s">
        <v>388</v>
      </c>
      <c r="B142" s="24" t="s">
        <v>249</v>
      </c>
      <c r="C142" s="16"/>
      <c r="D142" s="107"/>
      <c r="E142" s="111">
        <v>120250000</v>
      </c>
      <c r="F142" s="46"/>
      <c r="G142" s="33">
        <f t="shared" si="2"/>
        <v>120250000</v>
      </c>
      <c r="I142" s="69">
        <v>142750000</v>
      </c>
    </row>
    <row r="143" spans="1:9" s="4" customFormat="1" ht="15.75">
      <c r="A143" s="73" t="s">
        <v>455</v>
      </c>
      <c r="B143" s="40" t="s">
        <v>456</v>
      </c>
      <c r="C143" s="11">
        <f>SUM(C144)</f>
        <v>2250000000</v>
      </c>
      <c r="D143" s="11">
        <f>SUM(D144)</f>
        <v>0</v>
      </c>
      <c r="E143" s="11">
        <f>SUM(E144)</f>
        <v>0</v>
      </c>
      <c r="F143" s="11">
        <f>SUM(F144)</f>
        <v>0</v>
      </c>
      <c r="G143" s="42">
        <f t="shared" si="2"/>
        <v>2250000000</v>
      </c>
      <c r="I143" s="170"/>
    </row>
    <row r="144" spans="1:9" s="19" customFormat="1" ht="15.75">
      <c r="A144" s="27" t="s">
        <v>457</v>
      </c>
      <c r="B144" s="24" t="s">
        <v>458</v>
      </c>
      <c r="C144" s="18">
        <v>2250000000</v>
      </c>
      <c r="D144" s="107"/>
      <c r="E144" s="111"/>
      <c r="F144" s="46"/>
      <c r="G144" s="33">
        <f t="shared" si="2"/>
        <v>2250000000</v>
      </c>
      <c r="I144" s="69"/>
    </row>
    <row r="145" spans="1:10" s="13" customFormat="1" ht="15.75">
      <c r="A145" s="22" t="s">
        <v>146</v>
      </c>
      <c r="B145" s="26" t="s">
        <v>135</v>
      </c>
      <c r="C145" s="54">
        <f>SUM(C146)</f>
        <v>5200000</v>
      </c>
      <c r="D145" s="54">
        <f>SUM(D146)</f>
        <v>0</v>
      </c>
      <c r="E145" s="54">
        <f>SUM(E146)</f>
        <v>1744354</v>
      </c>
      <c r="F145" s="54">
        <f>SUM(F146)</f>
        <v>0</v>
      </c>
      <c r="G145" s="33">
        <f t="shared" si="2"/>
        <v>6944354</v>
      </c>
      <c r="I145" s="14">
        <f>SUM(I146)</f>
        <v>6944354</v>
      </c>
      <c r="J145" s="14">
        <f>SUM(J146)</f>
        <v>0</v>
      </c>
    </row>
    <row r="146" spans="1:10" s="19" customFormat="1" ht="15.75">
      <c r="A146" s="16" t="s">
        <v>136</v>
      </c>
      <c r="B146" s="24" t="s">
        <v>137</v>
      </c>
      <c r="C146" s="107">
        <v>5200000</v>
      </c>
      <c r="D146" s="107"/>
      <c r="E146" s="107">
        <v>1744354</v>
      </c>
      <c r="F146" s="46"/>
      <c r="G146" s="33">
        <f t="shared" si="2"/>
        <v>6944354</v>
      </c>
      <c r="I146" s="18">
        <v>6944354</v>
      </c>
      <c r="J146" s="16"/>
    </row>
    <row r="147" spans="1:10" s="13" customFormat="1" ht="15.75">
      <c r="A147" s="22" t="s">
        <v>145</v>
      </c>
      <c r="B147" s="26" t="s">
        <v>138</v>
      </c>
      <c r="C147" s="54">
        <f>SUM(C148:C149)</f>
        <v>190223173</v>
      </c>
      <c r="D147" s="54">
        <f>SUM(D148:D149)</f>
        <v>10000000</v>
      </c>
      <c r="E147" s="54">
        <f>SUM(E148:E149)</f>
        <v>23000000</v>
      </c>
      <c r="F147" s="54">
        <f>SUM(F148:F149)</f>
        <v>0</v>
      </c>
      <c r="G147" s="102">
        <f t="shared" si="2"/>
        <v>223223173</v>
      </c>
      <c r="I147" s="14">
        <f>SUM(I148:I149)</f>
        <v>66000000</v>
      </c>
      <c r="J147" s="14">
        <f>SUM(J148:J149)</f>
        <v>217093845</v>
      </c>
    </row>
    <row r="148" spans="1:10" s="19" customFormat="1" ht="15.75">
      <c r="A148" s="16" t="s">
        <v>139</v>
      </c>
      <c r="B148" s="24" t="s">
        <v>8</v>
      </c>
      <c r="C148" s="107">
        <v>157223173</v>
      </c>
      <c r="D148" s="107"/>
      <c r="E148" s="107"/>
      <c r="F148" s="46"/>
      <c r="G148" s="33">
        <f t="shared" si="2"/>
        <v>157223173</v>
      </c>
      <c r="J148" s="18">
        <v>217093845</v>
      </c>
    </row>
    <row r="149" spans="1:10" ht="15.75">
      <c r="A149" s="16" t="s">
        <v>189</v>
      </c>
      <c r="B149" s="24" t="s">
        <v>190</v>
      </c>
      <c r="C149" s="107">
        <v>33000000</v>
      </c>
      <c r="D149" s="107">
        <v>10000000</v>
      </c>
      <c r="E149" s="107">
        <v>23000000</v>
      </c>
      <c r="F149" s="118"/>
      <c r="G149" s="33">
        <f t="shared" si="2"/>
        <v>66000000</v>
      </c>
      <c r="I149" s="18">
        <v>66000000</v>
      </c>
      <c r="J149" s="41"/>
    </row>
    <row r="150" spans="1:10" s="13" customFormat="1" ht="15.75" hidden="1">
      <c r="A150" s="20" t="s">
        <v>140</v>
      </c>
      <c r="B150" s="20" t="s">
        <v>141</v>
      </c>
      <c r="C150" s="54">
        <f>SUM(C151:C157)</f>
        <v>0</v>
      </c>
      <c r="D150" s="54">
        <f>SUM(D151:D157)</f>
        <v>0</v>
      </c>
      <c r="E150" s="54">
        <f>SUM(E151:E157)</f>
        <v>0</v>
      </c>
      <c r="F150" s="54">
        <f>SUM(F151:F157)</f>
        <v>0</v>
      </c>
      <c r="G150" s="33">
        <f t="shared" si="2"/>
        <v>0</v>
      </c>
      <c r="I150" s="14">
        <f>SUM(I151:I157)</f>
        <v>322922975</v>
      </c>
      <c r="J150" s="14">
        <f>SUM(J151:J157)</f>
        <v>0</v>
      </c>
    </row>
    <row r="151" spans="1:10" s="19" customFormat="1" ht="15.75" hidden="1">
      <c r="A151" s="16" t="s">
        <v>201</v>
      </c>
      <c r="B151" s="16" t="s">
        <v>202</v>
      </c>
      <c r="C151" s="46"/>
      <c r="D151" s="107"/>
      <c r="E151" s="46"/>
      <c r="F151" s="46"/>
      <c r="G151" s="33">
        <f t="shared" si="2"/>
        <v>0</v>
      </c>
      <c r="I151" s="18">
        <v>4856355</v>
      </c>
      <c r="J151" s="16"/>
    </row>
    <row r="152" spans="1:10" s="19" customFormat="1" ht="15.75" hidden="1">
      <c r="A152" s="16" t="s">
        <v>259</v>
      </c>
      <c r="B152" s="16" t="s">
        <v>260</v>
      </c>
      <c r="C152" s="46"/>
      <c r="D152" s="107"/>
      <c r="E152" s="46"/>
      <c r="F152" s="46"/>
      <c r="G152" s="33">
        <f t="shared" si="2"/>
        <v>0</v>
      </c>
      <c r="I152" s="18">
        <v>14143670</v>
      </c>
      <c r="J152" s="18"/>
    </row>
    <row r="153" spans="1:10" s="19" customFormat="1" ht="15.75" hidden="1">
      <c r="A153" s="16" t="s">
        <v>199</v>
      </c>
      <c r="B153" s="23" t="s">
        <v>200</v>
      </c>
      <c r="C153" s="119"/>
      <c r="D153" s="46"/>
      <c r="E153" s="46"/>
      <c r="F153" s="46"/>
      <c r="G153" s="33">
        <f t="shared" si="2"/>
        <v>0</v>
      </c>
      <c r="I153" s="18">
        <v>213248150</v>
      </c>
      <c r="J153" s="16"/>
    </row>
    <row r="154" spans="1:10" s="19" customFormat="1" ht="15.75" hidden="1">
      <c r="A154" s="16" t="s">
        <v>203</v>
      </c>
      <c r="B154" s="16" t="s">
        <v>204</v>
      </c>
      <c r="C154" s="46"/>
      <c r="D154" s="107"/>
      <c r="E154" s="46"/>
      <c r="F154" s="46"/>
      <c r="G154" s="33">
        <f t="shared" si="2"/>
        <v>0</v>
      </c>
      <c r="I154" s="18">
        <v>28550000</v>
      </c>
      <c r="J154" s="16"/>
    </row>
    <row r="155" spans="1:10" s="19" customFormat="1" ht="15.75" hidden="1">
      <c r="A155" s="16" t="s">
        <v>205</v>
      </c>
      <c r="B155" s="16" t="s">
        <v>246</v>
      </c>
      <c r="C155" s="46"/>
      <c r="D155" s="107"/>
      <c r="E155" s="46"/>
      <c r="F155" s="46"/>
      <c r="G155" s="33">
        <f t="shared" si="2"/>
        <v>0</v>
      </c>
      <c r="I155" s="18">
        <v>25695000</v>
      </c>
      <c r="J155" s="16"/>
    </row>
    <row r="156" spans="1:10" s="19" customFormat="1" ht="15.75" hidden="1">
      <c r="A156" s="16" t="s">
        <v>206</v>
      </c>
      <c r="B156" s="16" t="s">
        <v>207</v>
      </c>
      <c r="C156" s="46"/>
      <c r="D156" s="107"/>
      <c r="E156" s="46"/>
      <c r="F156" s="46"/>
      <c r="G156" s="33">
        <f t="shared" si="2"/>
        <v>0</v>
      </c>
      <c r="I156" s="18">
        <v>34716800</v>
      </c>
      <c r="J156" s="16"/>
    </row>
    <row r="157" spans="1:10" s="19" customFormat="1" ht="15.75" hidden="1">
      <c r="A157" s="16" t="s">
        <v>292</v>
      </c>
      <c r="B157" s="16" t="s">
        <v>293</v>
      </c>
      <c r="C157" s="46"/>
      <c r="D157" s="107"/>
      <c r="E157" s="46"/>
      <c r="F157" s="46"/>
      <c r="G157" s="33">
        <f t="shared" si="2"/>
        <v>0</v>
      </c>
      <c r="I157" s="18">
        <v>1713000</v>
      </c>
      <c r="J157" s="16"/>
    </row>
    <row r="158" spans="1:10" s="13" customFormat="1" ht="15.75">
      <c r="A158" s="198" t="s">
        <v>140</v>
      </c>
      <c r="B158" s="20" t="s">
        <v>459</v>
      </c>
      <c r="C158" s="113">
        <f>SUM(C159:C165)</f>
        <v>322922975</v>
      </c>
      <c r="D158" s="54"/>
      <c r="E158" s="113"/>
      <c r="F158" s="113"/>
      <c r="G158" s="102">
        <f t="shared" si="2"/>
        <v>322922975</v>
      </c>
      <c r="I158" s="14"/>
      <c r="J158" s="20"/>
    </row>
    <row r="159" spans="1:10" s="19" customFormat="1" ht="15.75">
      <c r="A159" s="16" t="s">
        <v>201</v>
      </c>
      <c r="B159" s="16" t="s">
        <v>202</v>
      </c>
      <c r="C159" s="46">
        <v>4856355</v>
      </c>
      <c r="D159" s="107"/>
      <c r="E159" s="46"/>
      <c r="F159" s="46"/>
      <c r="G159" s="33">
        <f t="shared" si="2"/>
        <v>4856355</v>
      </c>
      <c r="I159" s="18"/>
      <c r="J159" s="16"/>
    </row>
    <row r="160" spans="1:10" s="19" customFormat="1" ht="15.75">
      <c r="A160" s="16" t="s">
        <v>259</v>
      </c>
      <c r="B160" s="16" t="s">
        <v>260</v>
      </c>
      <c r="C160" s="46">
        <v>14143670</v>
      </c>
      <c r="D160" s="107"/>
      <c r="E160" s="46"/>
      <c r="F160" s="46"/>
      <c r="G160" s="33">
        <f t="shared" si="2"/>
        <v>14143670</v>
      </c>
      <c r="I160" s="18"/>
      <c r="J160" s="16"/>
    </row>
    <row r="161" spans="1:10" s="19" customFormat="1" ht="15.75">
      <c r="A161" s="16" t="s">
        <v>199</v>
      </c>
      <c r="B161" s="16" t="s">
        <v>200</v>
      </c>
      <c r="C161" s="46">
        <v>213248150</v>
      </c>
      <c r="D161" s="107"/>
      <c r="E161" s="46"/>
      <c r="F161" s="46"/>
      <c r="G161" s="33">
        <f t="shared" si="2"/>
        <v>213248150</v>
      </c>
      <c r="I161" s="18"/>
      <c r="J161" s="16"/>
    </row>
    <row r="162" spans="1:10" s="19" customFormat="1" ht="15.75">
      <c r="A162" s="16" t="s">
        <v>203</v>
      </c>
      <c r="B162" s="16" t="s">
        <v>204</v>
      </c>
      <c r="C162" s="46">
        <v>28550000</v>
      </c>
      <c r="D162" s="107"/>
      <c r="E162" s="46"/>
      <c r="F162" s="46"/>
      <c r="G162" s="33">
        <f t="shared" si="2"/>
        <v>28550000</v>
      </c>
      <c r="I162" s="18"/>
      <c r="J162" s="16"/>
    </row>
    <row r="163" spans="1:10" s="19" customFormat="1" ht="15.75">
      <c r="A163" s="16" t="s">
        <v>205</v>
      </c>
      <c r="B163" s="16" t="s">
        <v>246</v>
      </c>
      <c r="C163" s="46">
        <v>25695000</v>
      </c>
      <c r="D163" s="107"/>
      <c r="E163" s="46"/>
      <c r="F163" s="46"/>
      <c r="G163" s="33">
        <f t="shared" si="2"/>
        <v>25695000</v>
      </c>
      <c r="I163" s="18"/>
      <c r="J163" s="16"/>
    </row>
    <row r="164" spans="1:10" s="19" customFormat="1" ht="15.75">
      <c r="A164" s="16" t="s">
        <v>206</v>
      </c>
      <c r="B164" s="16" t="s">
        <v>207</v>
      </c>
      <c r="C164" s="46">
        <v>34716800</v>
      </c>
      <c r="D164" s="107"/>
      <c r="E164" s="46"/>
      <c r="F164" s="46"/>
      <c r="G164" s="33">
        <f t="shared" si="2"/>
        <v>34716800</v>
      </c>
      <c r="I164" s="18"/>
      <c r="J164" s="16"/>
    </row>
    <row r="165" spans="1:10" s="19" customFormat="1" ht="15.75">
      <c r="A165" s="16" t="s">
        <v>292</v>
      </c>
      <c r="B165" s="16" t="s">
        <v>293</v>
      </c>
      <c r="C165" s="46">
        <v>1713000</v>
      </c>
      <c r="D165" s="107"/>
      <c r="E165" s="46"/>
      <c r="F165" s="46"/>
      <c r="G165" s="33">
        <f t="shared" si="2"/>
        <v>1713000</v>
      </c>
      <c r="I165" s="18"/>
      <c r="J165" s="16"/>
    </row>
    <row r="166" spans="1:10" s="19" customFormat="1" ht="15.75">
      <c r="A166" s="16"/>
      <c r="B166" s="16"/>
      <c r="C166" s="46"/>
      <c r="D166" s="107"/>
      <c r="E166" s="46"/>
      <c r="F166" s="46"/>
      <c r="G166" s="33"/>
      <c r="I166" s="18"/>
      <c r="J166" s="16"/>
    </row>
    <row r="167" spans="1:10" s="4" customFormat="1" ht="15.75">
      <c r="A167" s="8">
        <v>7</v>
      </c>
      <c r="B167" s="21" t="s">
        <v>142</v>
      </c>
      <c r="C167" s="109">
        <f>SUM(C168,C171,C173)</f>
        <v>5740300000</v>
      </c>
      <c r="D167" s="109">
        <f>SUM(D169:D178)</f>
        <v>0</v>
      </c>
      <c r="E167" s="109">
        <f>SUM(E168,E171,E173)</f>
        <v>3568300000</v>
      </c>
      <c r="F167" s="109">
        <f>SUM(F169:F178)</f>
        <v>0</v>
      </c>
      <c r="G167" s="42">
        <f t="shared" si="2"/>
        <v>9308600000</v>
      </c>
      <c r="I167" s="11">
        <f>SUM(I170:I178)</f>
        <v>2000000000</v>
      </c>
      <c r="J167" s="11">
        <f>SUM(J170:J178)</f>
        <v>2612000000</v>
      </c>
    </row>
    <row r="168" spans="1:10" s="13" customFormat="1" ht="15.75">
      <c r="A168" s="22" t="s">
        <v>463</v>
      </c>
      <c r="B168" s="20" t="s">
        <v>464</v>
      </c>
      <c r="C168" s="54">
        <f>SUM(C169)</f>
        <v>5710000000</v>
      </c>
      <c r="D168" s="54">
        <f>SUM(D169)</f>
        <v>0</v>
      </c>
      <c r="E168" s="54">
        <f>SUM(E169:E170)</f>
        <v>600000000</v>
      </c>
      <c r="F168" s="54">
        <f>SUM(F169)</f>
        <v>0</v>
      </c>
      <c r="G168" s="102">
        <f t="shared" si="2"/>
        <v>6310000000</v>
      </c>
      <c r="I168" s="14"/>
      <c r="J168" s="199"/>
    </row>
    <row r="169" spans="1:10" s="19" customFormat="1" ht="15.75">
      <c r="A169" s="23" t="s">
        <v>248</v>
      </c>
      <c r="B169" s="16" t="s">
        <v>460</v>
      </c>
      <c r="C169" s="107">
        <v>5710000000</v>
      </c>
      <c r="D169" s="107"/>
      <c r="E169" s="107"/>
      <c r="F169" s="107"/>
      <c r="G169" s="33">
        <f t="shared" si="2"/>
        <v>5710000000</v>
      </c>
      <c r="I169" s="18"/>
      <c r="J169" s="181"/>
    </row>
    <row r="170" spans="1:9" s="4" customFormat="1" ht="15.75">
      <c r="A170" s="23" t="s">
        <v>248</v>
      </c>
      <c r="B170" s="16" t="s">
        <v>249</v>
      </c>
      <c r="C170" s="107"/>
      <c r="D170" s="107"/>
      <c r="E170" s="107">
        <v>600000000</v>
      </c>
      <c r="F170" s="68"/>
      <c r="G170" s="33">
        <f t="shared" si="2"/>
        <v>600000000</v>
      </c>
      <c r="I170" s="69">
        <v>1000000000</v>
      </c>
    </row>
    <row r="171" spans="1:9" s="13" customFormat="1" ht="15.75">
      <c r="A171" s="22" t="s">
        <v>465</v>
      </c>
      <c r="B171" s="20" t="s">
        <v>466</v>
      </c>
      <c r="C171" s="54">
        <f>SUM(C172)</f>
        <v>0</v>
      </c>
      <c r="D171" s="54">
        <f>SUM(D172)</f>
        <v>0</v>
      </c>
      <c r="E171" s="54">
        <f>SUM(E172)</f>
        <v>418300000</v>
      </c>
      <c r="F171" s="54">
        <f>SUM(F172)</f>
        <v>0</v>
      </c>
      <c r="G171" s="102">
        <f t="shared" si="2"/>
        <v>418300000</v>
      </c>
      <c r="I171" s="200"/>
    </row>
    <row r="172" spans="1:10" s="4" customFormat="1" ht="15.75">
      <c r="A172" s="27" t="s">
        <v>282</v>
      </c>
      <c r="B172" s="24" t="s">
        <v>283</v>
      </c>
      <c r="C172" s="107"/>
      <c r="D172" s="107"/>
      <c r="E172" s="107">
        <v>418300000</v>
      </c>
      <c r="F172" s="68"/>
      <c r="G172" s="33">
        <f t="shared" si="2"/>
        <v>418300000</v>
      </c>
      <c r="I172" s="11">
        <v>0</v>
      </c>
      <c r="J172" s="21"/>
    </row>
    <row r="173" spans="1:10" s="13" customFormat="1" ht="15.75">
      <c r="A173" s="32" t="s">
        <v>467</v>
      </c>
      <c r="B173" s="26" t="s">
        <v>468</v>
      </c>
      <c r="C173" s="54">
        <f>SUM(C174:C178)</f>
        <v>30300000</v>
      </c>
      <c r="D173" s="54">
        <f>SUM(D174:D178)</f>
        <v>0</v>
      </c>
      <c r="E173" s="54">
        <f>SUM(E174:E178)</f>
        <v>2550000000</v>
      </c>
      <c r="F173" s="54">
        <f>SUM(F174:F178)</f>
        <v>0</v>
      </c>
      <c r="G173" s="54">
        <f>SUM(G174:G178)</f>
        <v>2580300000</v>
      </c>
      <c r="I173" s="199"/>
      <c r="J173" s="20"/>
    </row>
    <row r="174" spans="1:10" s="4" customFormat="1" ht="15.75">
      <c r="A174" s="27" t="s">
        <v>255</v>
      </c>
      <c r="B174" s="24" t="s">
        <v>285</v>
      </c>
      <c r="C174" s="107"/>
      <c r="D174" s="107"/>
      <c r="E174" s="107">
        <v>2250000000</v>
      </c>
      <c r="F174" s="68"/>
      <c r="G174" s="33">
        <f t="shared" si="2"/>
        <v>2250000000</v>
      </c>
      <c r="I174" s="70">
        <v>1000000000</v>
      </c>
      <c r="J174" s="69">
        <v>2300000000</v>
      </c>
    </row>
    <row r="175" spans="1:10" s="4" customFormat="1" ht="15.75">
      <c r="A175" s="27"/>
      <c r="B175" s="24" t="s">
        <v>280</v>
      </c>
      <c r="C175" s="107"/>
      <c r="D175" s="107"/>
      <c r="E175" s="120"/>
      <c r="F175" s="68"/>
      <c r="G175" s="33">
        <f t="shared" si="2"/>
        <v>0</v>
      </c>
      <c r="I175" s="18">
        <v>0</v>
      </c>
      <c r="J175" s="21"/>
    </row>
    <row r="176" spans="1:10" s="4" customFormat="1" ht="15.75">
      <c r="A176" s="24" t="s">
        <v>208</v>
      </c>
      <c r="B176" s="24" t="s">
        <v>209</v>
      </c>
      <c r="C176" s="68"/>
      <c r="D176" s="107"/>
      <c r="E176" s="107">
        <v>300000000</v>
      </c>
      <c r="F176" s="68"/>
      <c r="G176" s="33">
        <f t="shared" si="2"/>
        <v>300000000</v>
      </c>
      <c r="J176" s="18">
        <v>312000000</v>
      </c>
    </row>
    <row r="177" spans="1:10" s="4" customFormat="1" ht="15.75">
      <c r="A177" s="24" t="s">
        <v>233</v>
      </c>
      <c r="B177" s="24" t="s">
        <v>300</v>
      </c>
      <c r="C177" s="107">
        <v>22700000</v>
      </c>
      <c r="D177" s="108"/>
      <c r="E177" s="42"/>
      <c r="F177" s="42"/>
      <c r="G177" s="42">
        <f t="shared" si="2"/>
        <v>22700000</v>
      </c>
      <c r="I177" s="11">
        <v>0</v>
      </c>
      <c r="J177" s="21"/>
    </row>
    <row r="178" spans="1:10" s="4" customFormat="1" ht="15.75">
      <c r="A178" s="24" t="s">
        <v>236</v>
      </c>
      <c r="B178" s="24" t="s">
        <v>301</v>
      </c>
      <c r="C178" s="107">
        <v>7600000</v>
      </c>
      <c r="D178" s="108"/>
      <c r="E178" s="42"/>
      <c r="F178" s="42"/>
      <c r="G178" s="42">
        <f t="shared" si="2"/>
        <v>7600000</v>
      </c>
      <c r="I178" s="11">
        <v>0</v>
      </c>
      <c r="J178" s="21"/>
    </row>
    <row r="179" spans="1:10" s="36" customFormat="1" ht="15.75">
      <c r="A179" s="24"/>
      <c r="B179" s="24"/>
      <c r="C179" s="107"/>
      <c r="D179" s="107"/>
      <c r="E179" s="68"/>
      <c r="F179" s="68"/>
      <c r="G179" s="68"/>
      <c r="I179" s="10"/>
      <c r="J179" s="40"/>
    </row>
    <row r="180" spans="1:10" s="4" customFormat="1" ht="15.75">
      <c r="A180" s="8">
        <v>8</v>
      </c>
      <c r="B180" s="21" t="s">
        <v>143</v>
      </c>
      <c r="C180" s="112">
        <f>SUM(C181)</f>
        <v>157137070</v>
      </c>
      <c r="D180" s="112">
        <f>SUM(D181)</f>
        <v>0</v>
      </c>
      <c r="E180" s="112">
        <f>SUM(E181)</f>
        <v>0</v>
      </c>
      <c r="F180" s="112">
        <f>SUM(F181)</f>
        <v>0</v>
      </c>
      <c r="G180" s="42">
        <f t="shared" si="2"/>
        <v>157137070</v>
      </c>
      <c r="I180" s="11">
        <f>SUM(I181)</f>
        <v>0</v>
      </c>
      <c r="J180" s="11">
        <f>SUM(J181)</f>
        <v>157137070</v>
      </c>
    </row>
    <row r="181" spans="1:10" s="19" customFormat="1" ht="15.75">
      <c r="A181" s="16" t="s">
        <v>197</v>
      </c>
      <c r="B181" s="16" t="s">
        <v>144</v>
      </c>
      <c r="C181" s="46">
        <v>157137070</v>
      </c>
      <c r="D181" s="108"/>
      <c r="E181" s="33"/>
      <c r="F181" s="33"/>
      <c r="G181" s="42">
        <f t="shared" si="2"/>
        <v>157137070</v>
      </c>
      <c r="J181" s="18">
        <v>157137070</v>
      </c>
    </row>
    <row r="182" spans="1:12" s="4" customFormat="1" ht="15.75">
      <c r="A182" s="21"/>
      <c r="B182" s="21" t="s">
        <v>9</v>
      </c>
      <c r="C182" s="42">
        <f>SUM(C180,C167,C128,C114,C111,C78,C27,C6)</f>
        <v>32913927000</v>
      </c>
      <c r="D182" s="42">
        <f>SUM(D180,D167,D128,D114,D108,D78,D27,D6)</f>
        <v>1149297000</v>
      </c>
      <c r="E182" s="42">
        <f>SUM(E180,E167,E128,E114,E108,E78,E27,E6)</f>
        <v>16371567000</v>
      </c>
      <c r="F182" s="42">
        <f>SUM(F180,F167,F128,F114,F108,F78,F27,F6)</f>
        <v>240209000</v>
      </c>
      <c r="G182" s="42">
        <f>SUM(C182,D182,E182,F182)</f>
        <v>50675000000</v>
      </c>
      <c r="I182" s="11" t="e">
        <f>SUM(I180,I167,I128,I114,I108,I78,I27,I6)</f>
        <v>#REF!</v>
      </c>
      <c r="J182" s="11" t="e">
        <f>SUM(J180,J167,J128,J114,J108,J78,J27,J6)</f>
        <v>#REF!</v>
      </c>
      <c r="L182" s="88"/>
    </row>
    <row r="183" spans="1:10" s="4" customFormat="1" ht="15.75">
      <c r="A183" s="79"/>
      <c r="B183" s="79"/>
      <c r="C183" s="80"/>
      <c r="D183" s="80"/>
      <c r="E183" s="80"/>
      <c r="F183" s="80"/>
      <c r="G183" s="80"/>
      <c r="I183" s="81"/>
      <c r="J183" s="81"/>
    </row>
    <row r="184" spans="1:9" s="6" customFormat="1" ht="16.5" customHeight="1">
      <c r="A184" s="47"/>
      <c r="B184" s="48"/>
      <c r="C184" s="121"/>
      <c r="D184" s="121"/>
      <c r="E184" s="121"/>
      <c r="F184" s="121"/>
      <c r="G184" s="80"/>
      <c r="H184" s="4"/>
      <c r="I184" s="7"/>
    </row>
    <row r="185" spans="1:9" s="6" customFormat="1" ht="15.75">
      <c r="A185" s="49" t="s">
        <v>462</v>
      </c>
      <c r="B185" s="48"/>
      <c r="C185" s="123"/>
      <c r="D185" s="122"/>
      <c r="E185" s="122"/>
      <c r="F185" s="124"/>
      <c r="G185" s="125"/>
      <c r="I185" s="7"/>
    </row>
    <row r="186" ht="12.75">
      <c r="G186" s="126"/>
    </row>
    <row r="187" spans="7:8" ht="15">
      <c r="G187" s="55"/>
      <c r="H187" s="37"/>
    </row>
    <row r="189" ht="12.75">
      <c r="G189" s="126"/>
    </row>
    <row r="190" ht="12.75">
      <c r="G190" s="126"/>
    </row>
  </sheetData>
  <sheetProtection/>
  <mergeCells count="6">
    <mergeCell ref="C4:C5"/>
    <mergeCell ref="F1:G1"/>
    <mergeCell ref="D4:D5"/>
    <mergeCell ref="E4:E5"/>
    <mergeCell ref="F4:F5"/>
    <mergeCell ref="G4:G5"/>
  </mergeCells>
  <printOptions horizontalCentered="1"/>
  <pageMargins left="0.1968503937007874" right="0" top="0.3937007874015748" bottom="0.3937007874015748" header="0" footer="0.3937007874015748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A1" sqref="A1:F28"/>
    </sheetView>
  </sheetViews>
  <sheetFormatPr defaultColWidth="12" defaultRowHeight="12.75"/>
  <cols>
    <col min="1" max="1" width="60.66015625" style="0" customWidth="1"/>
    <col min="2" max="2" width="28.66015625" style="0" customWidth="1"/>
    <col min="3" max="3" width="21.66015625" style="0" customWidth="1"/>
    <col min="4" max="4" width="25" style="0" customWidth="1"/>
    <col min="5" max="5" width="26.83203125" style="0" customWidth="1"/>
    <col min="6" max="6" width="23.66015625" style="0" customWidth="1"/>
    <col min="7" max="7" width="23.16015625" style="0" customWidth="1"/>
  </cols>
  <sheetData>
    <row r="1" ht="20.25">
      <c r="A1" s="2" t="s">
        <v>10</v>
      </c>
    </row>
    <row r="2" ht="20.25">
      <c r="A2" s="2" t="s">
        <v>286</v>
      </c>
    </row>
    <row r="5" spans="1:5" s="19" customFormat="1" ht="15.75">
      <c r="A5" s="16" t="s">
        <v>302</v>
      </c>
      <c r="B5" s="71" t="s">
        <v>303</v>
      </c>
      <c r="C5" s="71" t="s">
        <v>304</v>
      </c>
      <c r="D5" s="71" t="s">
        <v>281</v>
      </c>
      <c r="E5" s="71" t="s">
        <v>386</v>
      </c>
    </row>
    <row r="6" spans="1:5" s="19" customFormat="1" ht="15.75">
      <c r="A6" s="16"/>
      <c r="B6" s="18"/>
      <c r="C6" s="18"/>
      <c r="D6" s="18"/>
      <c r="E6" s="16"/>
    </row>
    <row r="7" spans="1:7" s="19" customFormat="1" ht="15.75">
      <c r="A7" s="16" t="s">
        <v>311</v>
      </c>
      <c r="B7" s="58">
        <v>25545205831</v>
      </c>
      <c r="C7" s="57">
        <v>1008538426</v>
      </c>
      <c r="D7" s="57">
        <f>B7-C7</f>
        <v>24536667405</v>
      </c>
      <c r="E7" s="18">
        <v>24337049000</v>
      </c>
      <c r="F7" s="80"/>
      <c r="G7" s="78"/>
    </row>
    <row r="8" spans="1:5" s="19" customFormat="1" ht="15.75">
      <c r="A8" s="16"/>
      <c r="B8" s="57"/>
      <c r="C8" s="57"/>
      <c r="D8" s="57"/>
      <c r="E8" s="18"/>
    </row>
    <row r="9" spans="1:5" s="19" customFormat="1" ht="15.75">
      <c r="A9" s="16" t="s">
        <v>308</v>
      </c>
      <c r="B9" s="57">
        <v>1148513938</v>
      </c>
      <c r="C9" s="57">
        <f>B9-D9</f>
        <v>6525459</v>
      </c>
      <c r="D9" s="57">
        <v>1141988479</v>
      </c>
      <c r="E9" s="18">
        <v>1050193000</v>
      </c>
    </row>
    <row r="10" spans="1:5" s="19" customFormat="1" ht="15.75">
      <c r="A10" s="16" t="s">
        <v>309</v>
      </c>
      <c r="B10" s="57"/>
      <c r="C10" s="57"/>
      <c r="D10" s="57"/>
      <c r="E10" s="18"/>
    </row>
    <row r="11" spans="1:5" s="19" customFormat="1" ht="15.75">
      <c r="A11" s="16" t="s">
        <v>11</v>
      </c>
      <c r="B11" s="57"/>
      <c r="C11" s="57"/>
      <c r="D11" s="57"/>
      <c r="E11" s="18"/>
    </row>
    <row r="12" spans="1:5" s="19" customFormat="1" ht="15.75">
      <c r="A12" s="16" t="s">
        <v>306</v>
      </c>
      <c r="B12" s="57">
        <v>17136300622</v>
      </c>
      <c r="C12" s="56">
        <f>B12-D12</f>
        <v>2499970906</v>
      </c>
      <c r="D12" s="57">
        <v>14636329716</v>
      </c>
      <c r="E12" s="18">
        <v>14962461000</v>
      </c>
    </row>
    <row r="13" spans="1:5" s="19" customFormat="1" ht="15.75">
      <c r="A13" s="16" t="s">
        <v>307</v>
      </c>
      <c r="B13" s="57"/>
      <c r="C13" s="57"/>
      <c r="D13" s="57"/>
      <c r="E13" s="18"/>
    </row>
    <row r="14" spans="1:5" s="19" customFormat="1" ht="15.75">
      <c r="A14" s="16"/>
      <c r="B14" s="57"/>
      <c r="C14" s="57"/>
      <c r="D14" s="57"/>
      <c r="E14" s="18"/>
    </row>
    <row r="15" spans="1:6" s="19" customFormat="1" ht="15.75">
      <c r="A15" s="16" t="s">
        <v>305</v>
      </c>
      <c r="B15" s="57">
        <v>324297000</v>
      </c>
      <c r="C15" s="57">
        <f>B15-D15</f>
        <v>84088000</v>
      </c>
      <c r="D15" s="57">
        <v>240209000</v>
      </c>
      <c r="E15" s="18">
        <v>324297000</v>
      </c>
      <c r="F15"/>
    </row>
    <row r="16" spans="1:5" s="19" customFormat="1" ht="15.75">
      <c r="A16" s="16"/>
      <c r="B16" s="57"/>
      <c r="C16" s="57"/>
      <c r="D16" s="57"/>
      <c r="E16" s="18"/>
    </row>
    <row r="17" spans="1:5" s="19" customFormat="1" ht="15.75">
      <c r="A17" s="16" t="s">
        <v>9</v>
      </c>
      <c r="B17" s="57">
        <f>SUM(B6:B16)</f>
        <v>44154317391</v>
      </c>
      <c r="C17" s="57">
        <f>SUM(C6:C16)</f>
        <v>3599122791</v>
      </c>
      <c r="D17" s="57">
        <f>SUM(D6:D16)</f>
        <v>40555194600</v>
      </c>
      <c r="E17" s="57">
        <f>SUM(E6:E16)</f>
        <v>40674000000</v>
      </c>
    </row>
    <row r="18" spans="1:5" s="19" customFormat="1" ht="15.75">
      <c r="A18" s="16"/>
      <c r="B18" s="58"/>
      <c r="C18" s="58"/>
      <c r="D18" s="58"/>
      <c r="E18" s="18"/>
    </row>
    <row r="19" spans="1:4" s="19" customFormat="1" ht="15.75">
      <c r="A19" s="100" t="s">
        <v>385</v>
      </c>
      <c r="B19" s="99"/>
      <c r="C19" s="99"/>
      <c r="D19" s="99"/>
    </row>
    <row r="20" spans="1:4" s="19" customFormat="1" ht="15.75">
      <c r="A20" s="98"/>
      <c r="B20" s="99"/>
      <c r="C20" s="99"/>
      <c r="D20" s="99"/>
    </row>
    <row r="21" spans="2:4" ht="12.75">
      <c r="B21" s="72"/>
      <c r="C21" s="72"/>
      <c r="D21" s="72"/>
    </row>
    <row r="22" spans="2:4" s="19" customFormat="1" ht="15.75">
      <c r="B22" s="213" t="s">
        <v>310</v>
      </c>
      <c r="C22" s="213"/>
      <c r="D22" s="56">
        <v>38950000000</v>
      </c>
    </row>
    <row r="26" spans="1:3" ht="15.75">
      <c r="A26" s="216" t="s">
        <v>314</v>
      </c>
      <c r="B26" s="216"/>
      <c r="C26" s="75" t="s">
        <v>304</v>
      </c>
    </row>
    <row r="27" spans="1:3" ht="15.75">
      <c r="A27" s="215" t="s">
        <v>341</v>
      </c>
      <c r="B27" s="215"/>
      <c r="C27" s="18">
        <v>20000000</v>
      </c>
    </row>
    <row r="28" spans="1:3" ht="15.75">
      <c r="A28" s="215" t="s">
        <v>342</v>
      </c>
      <c r="B28" s="215"/>
      <c r="C28" s="18">
        <v>2500000</v>
      </c>
    </row>
    <row r="29" spans="1:3" ht="15.75">
      <c r="A29" s="215" t="s">
        <v>343</v>
      </c>
      <c r="B29" s="215"/>
      <c r="C29" s="18">
        <v>46320000</v>
      </c>
    </row>
    <row r="30" spans="1:3" ht="15.75">
      <c r="A30" s="215" t="s">
        <v>344</v>
      </c>
      <c r="B30" s="215"/>
      <c r="C30" s="18">
        <v>35343084</v>
      </c>
    </row>
    <row r="31" spans="1:3" ht="15.75">
      <c r="A31" s="217" t="s">
        <v>345</v>
      </c>
      <c r="B31" s="217"/>
      <c r="C31" s="18">
        <v>34944000</v>
      </c>
    </row>
    <row r="32" spans="1:3" ht="15.75">
      <c r="A32" s="217" t="s">
        <v>346</v>
      </c>
      <c r="B32" s="217"/>
      <c r="C32" s="18">
        <v>13937001</v>
      </c>
    </row>
    <row r="33" spans="1:3" ht="15.75">
      <c r="A33" s="217" t="s">
        <v>347</v>
      </c>
      <c r="B33" s="217"/>
      <c r="C33" s="18">
        <v>2267362</v>
      </c>
    </row>
    <row r="34" spans="1:3" ht="15.75">
      <c r="A34" s="217" t="s">
        <v>348</v>
      </c>
      <c r="B34" s="217"/>
      <c r="C34" s="17">
        <v>18816000</v>
      </c>
    </row>
    <row r="35" spans="1:3" ht="15.75">
      <c r="A35" s="217" t="s">
        <v>349</v>
      </c>
      <c r="B35" s="217"/>
      <c r="C35" s="18">
        <v>150920000</v>
      </c>
    </row>
    <row r="36" spans="1:3" ht="15.75">
      <c r="A36" s="206" t="s">
        <v>318</v>
      </c>
      <c r="B36" s="207"/>
      <c r="C36" s="18">
        <v>4949359</v>
      </c>
    </row>
    <row r="37" spans="1:3" ht="15.75">
      <c r="A37" s="206" t="s">
        <v>350</v>
      </c>
      <c r="B37" s="207"/>
      <c r="C37" s="18">
        <v>11000000</v>
      </c>
    </row>
    <row r="38" spans="1:3" ht="15.75">
      <c r="A38" s="206" t="s">
        <v>351</v>
      </c>
      <c r="B38" s="207"/>
      <c r="C38" s="18">
        <v>18080000</v>
      </c>
    </row>
    <row r="39" spans="1:3" ht="15.75">
      <c r="A39" s="206" t="s">
        <v>352</v>
      </c>
      <c r="B39" s="207"/>
      <c r="C39" s="18">
        <v>4079327</v>
      </c>
    </row>
    <row r="40" spans="1:3" ht="15.75">
      <c r="A40" s="206" t="s">
        <v>353</v>
      </c>
      <c r="B40" s="207"/>
      <c r="C40" s="18">
        <v>2309995</v>
      </c>
    </row>
    <row r="41" spans="1:3" ht="15.75">
      <c r="A41" s="206" t="s">
        <v>354</v>
      </c>
      <c r="B41" s="207"/>
      <c r="C41" s="18">
        <v>31154769</v>
      </c>
    </row>
    <row r="42" spans="1:3" ht="15.75">
      <c r="A42" s="206" t="s">
        <v>355</v>
      </c>
      <c r="B42" s="207"/>
      <c r="C42" s="18">
        <v>3000000</v>
      </c>
    </row>
    <row r="43" spans="1:3" ht="15.75">
      <c r="A43" s="206" t="s">
        <v>356</v>
      </c>
      <c r="B43" s="207"/>
      <c r="C43" s="18">
        <v>5400000</v>
      </c>
    </row>
    <row r="44" spans="1:3" ht="15.75">
      <c r="A44" s="206" t="s">
        <v>357</v>
      </c>
      <c r="B44" s="207"/>
      <c r="C44" s="18">
        <v>1139160</v>
      </c>
    </row>
    <row r="45" spans="1:3" ht="15.75">
      <c r="A45" s="206" t="s">
        <v>358</v>
      </c>
      <c r="B45" s="207"/>
      <c r="C45" s="18">
        <v>6111050</v>
      </c>
    </row>
    <row r="46" spans="1:3" ht="15.75">
      <c r="A46" s="206" t="s">
        <v>359</v>
      </c>
      <c r="B46" s="207"/>
      <c r="C46" s="18">
        <v>5114525</v>
      </c>
    </row>
    <row r="47" spans="1:3" ht="15.75">
      <c r="A47" s="206" t="s">
        <v>360</v>
      </c>
      <c r="B47" s="207"/>
      <c r="C47" s="18">
        <v>2686061</v>
      </c>
    </row>
    <row r="48" spans="1:3" ht="15.75">
      <c r="A48" s="206" t="s">
        <v>361</v>
      </c>
      <c r="B48" s="207"/>
      <c r="C48" s="18">
        <v>2326400</v>
      </c>
    </row>
    <row r="49" spans="1:3" ht="15.75">
      <c r="A49" s="206" t="s">
        <v>362</v>
      </c>
      <c r="B49" s="207"/>
      <c r="C49" s="18">
        <v>17309760</v>
      </c>
    </row>
    <row r="50" spans="1:3" ht="15.75">
      <c r="A50" s="208" t="s">
        <v>363</v>
      </c>
      <c r="B50" s="209"/>
      <c r="C50" s="18">
        <v>2208639</v>
      </c>
    </row>
    <row r="51" spans="1:3" ht="15.75">
      <c r="A51" s="208" t="s">
        <v>364</v>
      </c>
      <c r="B51" s="209"/>
      <c r="C51" s="18">
        <v>3758000</v>
      </c>
    </row>
    <row r="52" spans="1:3" ht="15.75">
      <c r="A52" s="208" t="s">
        <v>365</v>
      </c>
      <c r="B52" s="209"/>
      <c r="C52" s="18">
        <v>5545600</v>
      </c>
    </row>
    <row r="53" spans="1:3" ht="15.75">
      <c r="A53" s="208" t="s">
        <v>366</v>
      </c>
      <c r="B53" s="209"/>
      <c r="C53" s="18">
        <v>2691294</v>
      </c>
    </row>
    <row r="54" spans="1:3" ht="15.75">
      <c r="A54" s="208" t="s">
        <v>367</v>
      </c>
      <c r="B54" s="209"/>
      <c r="C54" s="18">
        <v>3878400</v>
      </c>
    </row>
    <row r="55" spans="1:3" ht="15.75">
      <c r="A55" s="208" t="s">
        <v>368</v>
      </c>
      <c r="B55" s="209"/>
      <c r="C55" s="18">
        <v>1751222</v>
      </c>
    </row>
    <row r="56" spans="1:3" ht="15.75">
      <c r="A56" s="208" t="s">
        <v>369</v>
      </c>
      <c r="B56" s="209"/>
      <c r="C56" s="18">
        <v>5792000</v>
      </c>
    </row>
    <row r="57" spans="1:3" ht="15.75">
      <c r="A57" s="208" t="s">
        <v>370</v>
      </c>
      <c r="B57" s="209"/>
      <c r="C57" s="18">
        <v>4869431</v>
      </c>
    </row>
    <row r="58" spans="1:3" ht="15.75">
      <c r="A58" s="208" t="s">
        <v>371</v>
      </c>
      <c r="B58" s="209"/>
      <c r="C58" s="18">
        <v>3990570</v>
      </c>
    </row>
    <row r="59" spans="1:3" ht="15.75">
      <c r="A59" s="208" t="s">
        <v>372</v>
      </c>
      <c r="B59" s="209"/>
      <c r="C59" s="18">
        <v>2700000</v>
      </c>
    </row>
    <row r="60" spans="1:3" ht="15.75">
      <c r="A60" s="208" t="s">
        <v>373</v>
      </c>
      <c r="B60" s="209"/>
      <c r="C60" s="18">
        <v>1120000</v>
      </c>
    </row>
    <row r="61" spans="1:3" ht="15.75">
      <c r="A61" s="208" t="s">
        <v>374</v>
      </c>
      <c r="B61" s="209"/>
      <c r="C61" s="18">
        <v>1841240</v>
      </c>
    </row>
    <row r="62" spans="1:3" ht="15.75">
      <c r="A62" s="208" t="s">
        <v>375</v>
      </c>
      <c r="B62" s="209"/>
      <c r="C62" s="18">
        <v>7702013</v>
      </c>
    </row>
    <row r="63" spans="1:3" ht="15.75">
      <c r="A63" s="208" t="s">
        <v>376</v>
      </c>
      <c r="B63" s="209"/>
      <c r="C63" s="18">
        <v>626745</v>
      </c>
    </row>
    <row r="64" spans="1:3" ht="15.75">
      <c r="A64" s="208" t="s">
        <v>323</v>
      </c>
      <c r="B64" s="209"/>
      <c r="C64" s="18">
        <v>40295374</v>
      </c>
    </row>
    <row r="65" spans="1:3" ht="15.75">
      <c r="A65" s="16" t="s">
        <v>378</v>
      </c>
      <c r="B65" s="41"/>
      <c r="C65" s="18">
        <v>4856355</v>
      </c>
    </row>
    <row r="66" spans="1:3" ht="15.75">
      <c r="A66" s="208" t="s">
        <v>377</v>
      </c>
      <c r="B66" s="209"/>
      <c r="C66" s="18">
        <v>14143670</v>
      </c>
    </row>
    <row r="67" spans="1:3" ht="15.75">
      <c r="A67" s="208" t="s">
        <v>379</v>
      </c>
      <c r="B67" s="209"/>
      <c r="C67" s="18">
        <v>213248150</v>
      </c>
    </row>
    <row r="68" spans="1:3" ht="15.75">
      <c r="A68" s="16" t="s">
        <v>380</v>
      </c>
      <c r="B68" s="41"/>
      <c r="C68" s="18">
        <v>28550000</v>
      </c>
    </row>
    <row r="69" spans="1:3" ht="15.75">
      <c r="A69" s="208" t="s">
        <v>381</v>
      </c>
      <c r="B69" s="209"/>
      <c r="C69" s="18">
        <v>25695000</v>
      </c>
    </row>
    <row r="70" spans="1:3" ht="15.75">
      <c r="A70" s="208" t="s">
        <v>382</v>
      </c>
      <c r="B70" s="209"/>
      <c r="C70" s="18">
        <v>34716800</v>
      </c>
    </row>
    <row r="71" spans="1:3" ht="15.75">
      <c r="A71" s="208" t="s">
        <v>383</v>
      </c>
      <c r="B71" s="209"/>
      <c r="C71" s="18">
        <v>1713000</v>
      </c>
    </row>
    <row r="72" spans="1:3" ht="15.75">
      <c r="A72" s="208" t="s">
        <v>384</v>
      </c>
      <c r="B72" s="209"/>
      <c r="C72" s="18">
        <v>157137070</v>
      </c>
    </row>
    <row r="73" spans="1:4" ht="15.75">
      <c r="A73" s="210" t="s">
        <v>316</v>
      </c>
      <c r="B73" s="211"/>
      <c r="C73" s="42">
        <f>SUM(C27:C72)</f>
        <v>1008538426</v>
      </c>
      <c r="D73" s="37"/>
    </row>
    <row r="76" spans="1:3" ht="15.75">
      <c r="A76" s="212" t="s">
        <v>317</v>
      </c>
      <c r="B76" s="212"/>
      <c r="C76" s="90" t="s">
        <v>304</v>
      </c>
    </row>
    <row r="77" spans="1:3" ht="15.75">
      <c r="A77" s="206" t="s">
        <v>318</v>
      </c>
      <c r="B77" s="207"/>
      <c r="C77" s="76">
        <v>1045000</v>
      </c>
    </row>
    <row r="78" spans="1:3" ht="15.75">
      <c r="A78" s="206" t="s">
        <v>319</v>
      </c>
      <c r="B78" s="207"/>
      <c r="C78" s="76">
        <f>2547579-1800000</f>
        <v>747579</v>
      </c>
    </row>
    <row r="79" spans="1:3" ht="15.75">
      <c r="A79" s="206" t="s">
        <v>320</v>
      </c>
      <c r="B79" s="207"/>
      <c r="C79" s="76">
        <v>820000</v>
      </c>
    </row>
    <row r="80" spans="1:3" ht="15.75">
      <c r="A80" s="208" t="s">
        <v>321</v>
      </c>
      <c r="B80" s="209"/>
      <c r="C80" s="76">
        <v>2612880</v>
      </c>
    </row>
    <row r="81" spans="1:3" ht="15.75">
      <c r="A81" s="82" t="s">
        <v>323</v>
      </c>
      <c r="B81" s="83"/>
      <c r="C81" s="76">
        <v>800000</v>
      </c>
    </row>
    <row r="82" spans="1:3" ht="15.75">
      <c r="A82" s="208" t="s">
        <v>322</v>
      </c>
      <c r="B82" s="209"/>
      <c r="C82" s="76">
        <v>500000</v>
      </c>
    </row>
    <row r="83" spans="1:4" ht="15.75">
      <c r="A83" s="210" t="s">
        <v>316</v>
      </c>
      <c r="B83" s="211"/>
      <c r="C83" s="89">
        <f>SUM(C77:C82)</f>
        <v>6525459</v>
      </c>
      <c r="D83" s="37"/>
    </row>
    <row r="84" spans="1:3" ht="15.75">
      <c r="A84" s="85"/>
      <c r="B84" s="85"/>
      <c r="C84" s="86"/>
    </row>
    <row r="86" spans="1:3" ht="15.75">
      <c r="A86" s="212" t="s">
        <v>315</v>
      </c>
      <c r="B86" s="212"/>
      <c r="C86" s="75" t="s">
        <v>304</v>
      </c>
    </row>
    <row r="87" spans="1:3" s="94" customFormat="1" ht="15.75">
      <c r="A87" s="95" t="s">
        <v>340</v>
      </c>
      <c r="B87" s="96"/>
      <c r="C87" s="97">
        <v>110411061</v>
      </c>
    </row>
    <row r="88" spans="1:3" s="94" customFormat="1" ht="15.75">
      <c r="A88" s="206" t="s">
        <v>39</v>
      </c>
      <c r="B88" s="207"/>
      <c r="C88" s="97">
        <v>4600000</v>
      </c>
    </row>
    <row r="89" spans="1:3" s="94" customFormat="1" ht="15.75">
      <c r="A89" s="206" t="s">
        <v>40</v>
      </c>
      <c r="B89" s="207"/>
      <c r="C89" s="97">
        <v>2100000</v>
      </c>
    </row>
    <row r="90" spans="1:3" ht="15.75">
      <c r="A90" s="206" t="s">
        <v>175</v>
      </c>
      <c r="B90" s="207"/>
      <c r="C90" s="59">
        <v>10000000</v>
      </c>
    </row>
    <row r="91" spans="1:3" ht="15.75">
      <c r="A91" s="208" t="s">
        <v>109</v>
      </c>
      <c r="B91" s="209"/>
      <c r="C91" s="59">
        <v>10000000</v>
      </c>
    </row>
    <row r="92" spans="1:3" ht="15.75">
      <c r="A92" s="208" t="s">
        <v>119</v>
      </c>
      <c r="B92" s="209"/>
      <c r="C92" s="59">
        <v>1000000</v>
      </c>
    </row>
    <row r="93" spans="1:3" ht="15.75">
      <c r="A93" s="206" t="s">
        <v>209</v>
      </c>
      <c r="B93" s="207"/>
      <c r="C93" s="59">
        <v>122183411</v>
      </c>
    </row>
    <row r="94" spans="1:3" ht="15.75">
      <c r="A94" s="208" t="s">
        <v>272</v>
      </c>
      <c r="B94" s="209"/>
      <c r="C94" s="59">
        <f>184111176-2000000-19077472</f>
        <v>163033704</v>
      </c>
    </row>
    <row r="95" spans="1:3" ht="15.75">
      <c r="A95" s="215" t="s">
        <v>313</v>
      </c>
      <c r="B95" s="215"/>
      <c r="C95" s="56">
        <v>1150000000</v>
      </c>
    </row>
    <row r="96" spans="1:3" ht="15.75">
      <c r="A96" s="215" t="s">
        <v>312</v>
      </c>
      <c r="B96" s="215"/>
      <c r="C96" s="56">
        <f>1526642730-600000000</f>
        <v>926642730</v>
      </c>
    </row>
    <row r="97" spans="1:5" ht="15.75">
      <c r="A97" s="214" t="s">
        <v>316</v>
      </c>
      <c r="B97" s="214"/>
      <c r="C97" s="60">
        <f>SUM(C87:C96)</f>
        <v>2499970906</v>
      </c>
      <c r="D97" s="1"/>
      <c r="E97" s="37"/>
    </row>
    <row r="98" spans="1:3" ht="15.75">
      <c r="A98" s="85"/>
      <c r="B98" s="85"/>
      <c r="C98" s="93"/>
    </row>
    <row r="99" spans="1:3" ht="15.75">
      <c r="A99" s="85"/>
      <c r="B99" s="85"/>
      <c r="C99" s="93"/>
    </row>
    <row r="100" spans="1:3" ht="15.75">
      <c r="A100" s="85"/>
      <c r="B100" s="85"/>
      <c r="C100" s="93"/>
    </row>
    <row r="101" spans="1:3" ht="15.75">
      <c r="A101" s="85"/>
      <c r="B101" s="85"/>
      <c r="C101" s="93"/>
    </row>
    <row r="102" spans="1:3" ht="15.75">
      <c r="A102" s="85"/>
      <c r="B102" s="85"/>
      <c r="C102" s="93"/>
    </row>
    <row r="103" spans="1:3" ht="15.75">
      <c r="A103" s="85"/>
      <c r="B103" s="85"/>
      <c r="C103" s="93"/>
    </row>
    <row r="104" spans="1:3" ht="15.75">
      <c r="A104" s="85"/>
      <c r="B104" s="85"/>
      <c r="C104" s="93"/>
    </row>
    <row r="105" spans="1:3" ht="15.75">
      <c r="A105" s="85"/>
      <c r="B105" s="85"/>
      <c r="C105" s="92"/>
    </row>
    <row r="106" spans="1:3" ht="15.75">
      <c r="A106" s="85"/>
      <c r="B106" s="85"/>
      <c r="C106" s="92"/>
    </row>
    <row r="107" spans="1:3" ht="15.75">
      <c r="A107" s="85"/>
      <c r="B107" s="85"/>
      <c r="C107" s="92"/>
    </row>
    <row r="108" spans="1:3" ht="15.75">
      <c r="A108" s="85"/>
      <c r="B108" s="85"/>
      <c r="C108" s="92"/>
    </row>
    <row r="109" spans="1:3" ht="15.75">
      <c r="A109" s="85"/>
      <c r="B109" s="85"/>
      <c r="C109" s="92"/>
    </row>
    <row r="110" spans="1:3" ht="15.75">
      <c r="A110" s="85"/>
      <c r="B110" s="85"/>
      <c r="C110" s="92"/>
    </row>
    <row r="111" spans="1:3" ht="15.75">
      <c r="A111" s="85"/>
      <c r="B111" s="85"/>
      <c r="C111" s="92"/>
    </row>
    <row r="112" spans="1:3" ht="15.75">
      <c r="A112" s="85"/>
      <c r="B112" s="85"/>
      <c r="C112" s="92"/>
    </row>
    <row r="113" spans="1:3" ht="15.75">
      <c r="A113" s="85"/>
      <c r="B113" s="85"/>
      <c r="C113" s="92"/>
    </row>
    <row r="114" spans="1:3" ht="15.75">
      <c r="A114" s="85"/>
      <c r="B114" s="85"/>
      <c r="C114" s="92"/>
    </row>
    <row r="115" spans="1:3" ht="15.75">
      <c r="A115" s="85"/>
      <c r="B115" s="85"/>
      <c r="C115" s="92"/>
    </row>
    <row r="116" spans="1:3" ht="15.75">
      <c r="A116" s="85"/>
      <c r="B116" s="85"/>
      <c r="C116" s="92"/>
    </row>
    <row r="117" spans="1:3" ht="15.75">
      <c r="A117" s="85"/>
      <c r="B117" s="85"/>
      <c r="C117" s="92"/>
    </row>
    <row r="118" spans="1:3" ht="15.75">
      <c r="A118" s="85"/>
      <c r="B118" s="85"/>
      <c r="C118" s="92"/>
    </row>
    <row r="119" spans="1:3" ht="15.75">
      <c r="A119" s="85"/>
      <c r="B119" s="85"/>
      <c r="C119" s="92"/>
    </row>
    <row r="120" spans="1:3" ht="15.75">
      <c r="A120" s="85"/>
      <c r="B120" s="85"/>
      <c r="C120" s="92"/>
    </row>
    <row r="121" spans="1:3" ht="15.75">
      <c r="A121" s="85"/>
      <c r="B121" s="85"/>
      <c r="C121" s="92"/>
    </row>
    <row r="122" spans="1:3" ht="15.75">
      <c r="A122" s="85"/>
      <c r="B122" s="85"/>
      <c r="C122" s="92"/>
    </row>
    <row r="123" spans="1:3" ht="15.75">
      <c r="A123" s="85"/>
      <c r="B123" s="85"/>
      <c r="C123" s="92"/>
    </row>
    <row r="124" spans="1:3" ht="15.75">
      <c r="A124" s="85"/>
      <c r="B124" s="85"/>
      <c r="C124" s="92"/>
    </row>
    <row r="125" spans="1:3" ht="15.75">
      <c r="A125" s="85"/>
      <c r="B125" s="85"/>
      <c r="C125" s="92"/>
    </row>
    <row r="126" spans="1:3" ht="15.75">
      <c r="A126" s="85"/>
      <c r="B126" s="85"/>
      <c r="C126" s="92"/>
    </row>
    <row r="127" spans="1:3" ht="15.75">
      <c r="A127" s="85"/>
      <c r="B127" s="85"/>
      <c r="C127" s="92"/>
    </row>
    <row r="128" spans="1:3" ht="15.75">
      <c r="A128" s="85"/>
      <c r="B128" s="85"/>
      <c r="C128" s="92"/>
    </row>
    <row r="129" spans="1:3" ht="15.75">
      <c r="A129" s="85"/>
      <c r="B129" s="85"/>
      <c r="C129" s="92"/>
    </row>
    <row r="130" spans="1:3" ht="15.75">
      <c r="A130" s="85"/>
      <c r="B130" s="85"/>
      <c r="C130" s="92"/>
    </row>
    <row r="131" spans="1:3" ht="15.75">
      <c r="A131" s="85"/>
      <c r="B131" s="85"/>
      <c r="C131" s="92"/>
    </row>
    <row r="132" spans="1:3" ht="15.75">
      <c r="A132" s="85"/>
      <c r="B132" s="85"/>
      <c r="C132" s="92"/>
    </row>
    <row r="133" spans="1:3" ht="15.75">
      <c r="A133" s="85"/>
      <c r="B133" s="85"/>
      <c r="C133" s="92"/>
    </row>
    <row r="134" spans="1:3" ht="15.75">
      <c r="A134" s="85"/>
      <c r="B134" s="85"/>
      <c r="C134" s="92"/>
    </row>
    <row r="135" spans="1:3" ht="15.75">
      <c r="A135" s="85"/>
      <c r="B135" s="85"/>
      <c r="C135" s="92"/>
    </row>
    <row r="136" ht="12.75">
      <c r="C136" s="77"/>
    </row>
    <row r="138" spans="1:3" ht="15.75">
      <c r="A138" s="212" t="s">
        <v>324</v>
      </c>
      <c r="B138" s="212"/>
      <c r="C138" s="74" t="s">
        <v>304</v>
      </c>
    </row>
    <row r="139" spans="1:3" ht="15.75">
      <c r="A139" s="206" t="s">
        <v>325</v>
      </c>
      <c r="B139" s="207"/>
      <c r="C139" s="76">
        <v>580000</v>
      </c>
    </row>
    <row r="140" spans="1:4" ht="15.75">
      <c r="A140" s="206" t="s">
        <v>326</v>
      </c>
      <c r="B140" s="207"/>
      <c r="C140" s="76">
        <v>16800000</v>
      </c>
      <c r="D140" s="1"/>
    </row>
    <row r="141" spans="1:3" ht="15.75">
      <c r="A141" s="206" t="s">
        <v>328</v>
      </c>
      <c r="B141" s="207"/>
      <c r="C141" s="76">
        <v>20400000</v>
      </c>
    </row>
    <row r="142" spans="1:3" ht="15.75">
      <c r="A142" s="206" t="s">
        <v>327</v>
      </c>
      <c r="B142" s="207"/>
      <c r="C142" s="76">
        <v>23400000</v>
      </c>
    </row>
    <row r="143" spans="1:3" ht="15.75">
      <c r="A143" s="206" t="s">
        <v>329</v>
      </c>
      <c r="B143" s="207"/>
      <c r="C143" s="76">
        <v>2000000</v>
      </c>
    </row>
    <row r="144" spans="1:3" ht="15.75">
      <c r="A144" s="206" t="s">
        <v>330</v>
      </c>
      <c r="B144" s="207"/>
      <c r="C144" s="76">
        <v>1040000</v>
      </c>
    </row>
    <row r="145" spans="1:3" ht="15.75">
      <c r="A145" s="206" t="s">
        <v>331</v>
      </c>
      <c r="B145" s="207"/>
      <c r="C145" s="76">
        <v>2120000</v>
      </c>
    </row>
    <row r="146" spans="1:3" ht="15.75">
      <c r="A146" s="206" t="s">
        <v>332</v>
      </c>
      <c r="B146" s="207"/>
      <c r="C146" s="76">
        <v>540000</v>
      </c>
    </row>
    <row r="147" spans="1:3" ht="15.75">
      <c r="A147" s="206" t="s">
        <v>333</v>
      </c>
      <c r="B147" s="207"/>
      <c r="C147" s="76">
        <f>3328000-1500000</f>
        <v>1828000</v>
      </c>
    </row>
    <row r="148" spans="1:3" ht="15.75">
      <c r="A148" s="206" t="s">
        <v>334</v>
      </c>
      <c r="B148" s="207"/>
      <c r="C148" s="76">
        <v>1000000</v>
      </c>
    </row>
    <row r="149" spans="1:3" ht="15.75">
      <c r="A149" s="206" t="s">
        <v>335</v>
      </c>
      <c r="B149" s="207"/>
      <c r="C149" s="76">
        <v>6000000</v>
      </c>
    </row>
    <row r="150" spans="1:3" ht="15.75">
      <c r="A150" s="206" t="s">
        <v>336</v>
      </c>
      <c r="B150" s="207"/>
      <c r="C150" s="76">
        <v>1080000</v>
      </c>
    </row>
    <row r="151" spans="1:3" ht="15.75">
      <c r="A151" s="206" t="s">
        <v>337</v>
      </c>
      <c r="B151" s="207"/>
      <c r="C151" s="76">
        <f>5500000-700000</f>
        <v>4800000</v>
      </c>
    </row>
    <row r="152" spans="1:3" ht="15.75">
      <c r="A152" s="206" t="s">
        <v>338</v>
      </c>
      <c r="B152" s="207"/>
      <c r="C152" s="76">
        <v>1500000</v>
      </c>
    </row>
    <row r="153" spans="1:3" ht="15.75">
      <c r="A153" s="206" t="s">
        <v>339</v>
      </c>
      <c r="B153" s="207"/>
      <c r="C153" s="76">
        <v>1000000</v>
      </c>
    </row>
    <row r="154" spans="1:6" ht="15.75">
      <c r="A154" s="210" t="s">
        <v>316</v>
      </c>
      <c r="B154" s="211"/>
      <c r="C154" s="89">
        <f>SUM(C139:C153)</f>
        <v>84088000</v>
      </c>
      <c r="D154" s="37"/>
      <c r="F154" s="37"/>
    </row>
  </sheetData>
  <sheetProtection/>
  <mergeCells count="82"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47:B47"/>
    <mergeCell ref="A56:B56"/>
    <mergeCell ref="A55:B55"/>
    <mergeCell ref="A54:B54"/>
    <mergeCell ref="A51:B51"/>
    <mergeCell ref="A52:B52"/>
    <mergeCell ref="A53:B53"/>
    <mergeCell ref="A62:B62"/>
    <mergeCell ref="A61:B61"/>
    <mergeCell ref="A60:B60"/>
    <mergeCell ref="A58:B58"/>
    <mergeCell ref="A59:B59"/>
    <mergeCell ref="A57:B57"/>
    <mergeCell ref="A35:B35"/>
    <mergeCell ref="A73:B73"/>
    <mergeCell ref="A72:B72"/>
    <mergeCell ref="A71:B71"/>
    <mergeCell ref="A70:B70"/>
    <mergeCell ref="A69:B69"/>
    <mergeCell ref="A67:B67"/>
    <mergeCell ref="A66:B66"/>
    <mergeCell ref="A64:B64"/>
    <mergeCell ref="A63:B63"/>
    <mergeCell ref="A152:B152"/>
    <mergeCell ref="A153:B153"/>
    <mergeCell ref="A154:B154"/>
    <mergeCell ref="A27:B27"/>
    <mergeCell ref="A28:B28"/>
    <mergeCell ref="A29:B29"/>
    <mergeCell ref="A31:B31"/>
    <mergeCell ref="A32:B32"/>
    <mergeCell ref="A33:B33"/>
    <mergeCell ref="A34:B34"/>
    <mergeCell ref="A146:B146"/>
    <mergeCell ref="A147:B147"/>
    <mergeCell ref="A148:B148"/>
    <mergeCell ref="A149:B149"/>
    <mergeCell ref="A150:B150"/>
    <mergeCell ref="A151:B151"/>
    <mergeCell ref="A145:B145"/>
    <mergeCell ref="A96:B96"/>
    <mergeCell ref="A95:B95"/>
    <mergeCell ref="A92:B92"/>
    <mergeCell ref="A80:B80"/>
    <mergeCell ref="A82:B82"/>
    <mergeCell ref="A138:B138"/>
    <mergeCell ref="A139:B139"/>
    <mergeCell ref="A140:B140"/>
    <mergeCell ref="A91:B91"/>
    <mergeCell ref="B22:C22"/>
    <mergeCell ref="A76:B76"/>
    <mergeCell ref="A97:B97"/>
    <mergeCell ref="A79:B79"/>
    <mergeCell ref="A144:B144"/>
    <mergeCell ref="A142:B142"/>
    <mergeCell ref="A141:B141"/>
    <mergeCell ref="A143:B143"/>
    <mergeCell ref="A30:B30"/>
    <mergeCell ref="A26:B26"/>
    <mergeCell ref="A77:B77"/>
    <mergeCell ref="A78:B78"/>
    <mergeCell ref="A90:B90"/>
    <mergeCell ref="A93:B93"/>
    <mergeCell ref="A94:B94"/>
    <mergeCell ref="A83:B83"/>
    <mergeCell ref="A86:B86"/>
    <mergeCell ref="A88:B88"/>
    <mergeCell ref="A89:B89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selection activeCell="L103" sqref="L103"/>
    </sheetView>
  </sheetViews>
  <sheetFormatPr defaultColWidth="12" defaultRowHeight="12.75"/>
  <cols>
    <col min="1" max="1" width="57.83203125" style="0" customWidth="1"/>
    <col min="2" max="2" width="20" style="0" customWidth="1"/>
    <col min="3" max="3" width="22.16015625" style="0" customWidth="1"/>
    <col min="4" max="4" width="22.33203125" style="19" customWidth="1"/>
    <col min="5" max="5" width="19.66015625" style="0" customWidth="1"/>
    <col min="6" max="6" width="23.66015625" style="0" customWidth="1"/>
    <col min="7" max="7" width="19.66015625" style="0" customWidth="1"/>
  </cols>
  <sheetData>
    <row r="1" ht="20.25">
      <c r="A1" s="2" t="s">
        <v>10</v>
      </c>
    </row>
    <row r="2" ht="20.25">
      <c r="A2" s="2" t="s">
        <v>286</v>
      </c>
    </row>
    <row r="5" spans="1:4" s="19" customFormat="1" ht="15.75">
      <c r="A5" s="16" t="s">
        <v>302</v>
      </c>
      <c r="B5" s="71" t="s">
        <v>303</v>
      </c>
      <c r="C5" s="71" t="s">
        <v>304</v>
      </c>
      <c r="D5" s="71" t="s">
        <v>9</v>
      </c>
    </row>
    <row r="6" spans="1:4" s="19" customFormat="1" ht="15.75">
      <c r="A6" s="16"/>
      <c r="B6" s="18"/>
      <c r="C6" s="18"/>
      <c r="D6" s="18"/>
    </row>
    <row r="7" spans="1:6" s="19" customFormat="1" ht="15.75">
      <c r="A7" s="16" t="s">
        <v>311</v>
      </c>
      <c r="B7" s="58">
        <f>PresupTotal!C182</f>
        <v>32913927000</v>
      </c>
      <c r="C7" s="57">
        <f>C43</f>
        <v>9427183099</v>
      </c>
      <c r="D7" s="57">
        <f>SUM(B7:C7)</f>
        <v>42341110099</v>
      </c>
      <c r="F7" s="34"/>
    </row>
    <row r="8" spans="1:4" s="19" customFormat="1" ht="15.75">
      <c r="A8" s="16"/>
      <c r="B8" s="57"/>
      <c r="C8" s="57"/>
      <c r="D8" s="57"/>
    </row>
    <row r="9" spans="1:4" s="19" customFormat="1" ht="15.75">
      <c r="A9" s="16" t="s">
        <v>308</v>
      </c>
      <c r="B9" s="57">
        <f>PresupTotal!D182</f>
        <v>1149297000</v>
      </c>
      <c r="C9" s="57">
        <f>C53</f>
        <v>6525459</v>
      </c>
      <c r="D9" s="57">
        <f>SUM(B9:C9)</f>
        <v>1155822459</v>
      </c>
    </row>
    <row r="10" spans="1:4" s="19" customFormat="1" ht="15.75">
      <c r="A10" s="16" t="s">
        <v>309</v>
      </c>
      <c r="B10" s="57"/>
      <c r="C10" s="57"/>
      <c r="D10" s="57"/>
    </row>
    <row r="11" spans="1:4" s="19" customFormat="1" ht="15.75">
      <c r="A11" s="16" t="s">
        <v>11</v>
      </c>
      <c r="B11" s="57"/>
      <c r="C11" s="57"/>
      <c r="D11" s="57"/>
    </row>
    <row r="12" spans="1:4" s="19" customFormat="1" ht="15.75">
      <c r="A12" s="16" t="s">
        <v>306</v>
      </c>
      <c r="B12" s="57">
        <f>PresupTotal!E182</f>
        <v>16371567000</v>
      </c>
      <c r="C12" s="56">
        <f>C65</f>
        <v>3702737202</v>
      </c>
      <c r="D12" s="57">
        <f>SUM(B12:C12)</f>
        <v>20074304202</v>
      </c>
    </row>
    <row r="13" spans="1:4" s="19" customFormat="1" ht="15.75">
      <c r="A13" s="16" t="s">
        <v>307</v>
      </c>
      <c r="B13" s="57"/>
      <c r="C13" s="57"/>
      <c r="D13" s="57"/>
    </row>
    <row r="14" spans="1:4" s="19" customFormat="1" ht="15.75">
      <c r="A14" s="16"/>
      <c r="B14" s="57"/>
      <c r="C14" s="57"/>
      <c r="D14" s="57"/>
    </row>
    <row r="15" spans="1:6" s="19" customFormat="1" ht="15.75">
      <c r="A15" s="16" t="s">
        <v>305</v>
      </c>
      <c r="B15" s="57">
        <f>PresupTotal!F182</f>
        <v>240209000</v>
      </c>
      <c r="C15" s="57">
        <f>C79</f>
        <v>12688000</v>
      </c>
      <c r="D15" s="57">
        <f>SUM(B15:C15)</f>
        <v>252897000</v>
      </c>
      <c r="F15"/>
    </row>
    <row r="16" spans="1:4" s="19" customFormat="1" ht="15.75">
      <c r="A16" s="16"/>
      <c r="B16" s="57"/>
      <c r="C16" s="57"/>
      <c r="D16" s="57"/>
    </row>
    <row r="17" spans="1:5" s="19" customFormat="1" ht="15.75">
      <c r="A17" s="16" t="s">
        <v>9</v>
      </c>
      <c r="B17" s="57">
        <f>SUM(B6:B16)</f>
        <v>50675000000</v>
      </c>
      <c r="C17" s="57">
        <f>SUM(C6:C16)</f>
        <v>13149133760</v>
      </c>
      <c r="D17" s="57">
        <f>SUM(D6:D16)</f>
        <v>63824133760</v>
      </c>
      <c r="E17" s="128"/>
    </row>
    <row r="18" spans="1:4" s="19" customFormat="1" ht="15.75">
      <c r="A18" s="16"/>
      <c r="B18" s="58"/>
      <c r="C18" s="58"/>
      <c r="D18" s="58"/>
    </row>
    <row r="19" spans="2:4" ht="15.75">
      <c r="B19" s="72"/>
      <c r="C19" s="72"/>
      <c r="D19" s="128"/>
    </row>
    <row r="20" spans="2:4" s="19" customFormat="1" ht="15.75">
      <c r="B20" s="213" t="s">
        <v>310</v>
      </c>
      <c r="C20" s="213"/>
      <c r="D20" s="127">
        <v>38952000000</v>
      </c>
    </row>
    <row r="21" spans="2:4" s="19" customFormat="1" ht="15.75">
      <c r="B21" s="128"/>
      <c r="C21" s="128"/>
      <c r="D21" s="128"/>
    </row>
    <row r="23" spans="1:3" ht="15.75">
      <c r="A23" s="224" t="s">
        <v>389</v>
      </c>
      <c r="B23" s="225"/>
      <c r="C23" s="226"/>
    </row>
    <row r="24" spans="1:4" ht="15.75">
      <c r="A24" s="217" t="s">
        <v>346</v>
      </c>
      <c r="B24" s="217"/>
      <c r="C24" s="57">
        <v>13937000</v>
      </c>
      <c r="D24" s="128">
        <f>SUM(C24:C30)</f>
        <v>182971747</v>
      </c>
    </row>
    <row r="25" spans="1:3" ht="15.75">
      <c r="A25" s="217" t="s">
        <v>349</v>
      </c>
      <c r="B25" s="217"/>
      <c r="C25" s="57">
        <f>150920000-2000000</f>
        <v>148920000</v>
      </c>
    </row>
    <row r="26" spans="1:3" ht="15.75">
      <c r="A26" s="206" t="s">
        <v>318</v>
      </c>
      <c r="B26" s="207"/>
      <c r="C26" s="57">
        <v>4949359</v>
      </c>
    </row>
    <row r="27" spans="1:3" ht="15.75">
      <c r="A27" s="206" t="s">
        <v>352</v>
      </c>
      <c r="B27" s="207"/>
      <c r="C27" s="57">
        <v>4079327</v>
      </c>
    </row>
    <row r="28" spans="1:3" ht="15.75">
      <c r="A28" s="206" t="s">
        <v>355</v>
      </c>
      <c r="B28" s="207"/>
      <c r="C28" s="57">
        <v>3000000</v>
      </c>
    </row>
    <row r="29" spans="1:3" ht="15.75">
      <c r="A29" s="206" t="s">
        <v>356</v>
      </c>
      <c r="B29" s="207"/>
      <c r="C29" s="57">
        <v>5400000</v>
      </c>
    </row>
    <row r="30" spans="1:3" ht="15.75">
      <c r="A30" s="206" t="s">
        <v>360</v>
      </c>
      <c r="B30" s="207"/>
      <c r="C30" s="57">
        <v>2686061</v>
      </c>
    </row>
    <row r="31" spans="1:4" ht="15.75">
      <c r="A31" s="208" t="s">
        <v>364</v>
      </c>
      <c r="B31" s="209"/>
      <c r="C31" s="57">
        <v>3758000</v>
      </c>
      <c r="D31" s="128">
        <f>SUM(C31:C32)</f>
        <v>6449294</v>
      </c>
    </row>
    <row r="32" spans="1:3" ht="15.75">
      <c r="A32" s="208" t="s">
        <v>366</v>
      </c>
      <c r="B32" s="209"/>
      <c r="C32" s="57">
        <v>2691294</v>
      </c>
    </row>
    <row r="33" spans="1:4" ht="15.75">
      <c r="A33" s="208" t="s">
        <v>375</v>
      </c>
      <c r="B33" s="209"/>
      <c r="C33" s="57">
        <v>7702013</v>
      </c>
      <c r="D33" s="128">
        <f>SUM(C33)</f>
        <v>7702013</v>
      </c>
    </row>
    <row r="34" spans="1:4" ht="15.75">
      <c r="A34" s="82" t="s">
        <v>390</v>
      </c>
      <c r="B34" s="83"/>
      <c r="C34" s="57">
        <v>8750000000</v>
      </c>
      <c r="D34" s="128">
        <f>SUM(C34:C41)</f>
        <v>9072922975</v>
      </c>
    </row>
    <row r="35" spans="1:3" ht="15.75">
      <c r="A35" s="16" t="s">
        <v>378</v>
      </c>
      <c r="B35" s="41"/>
      <c r="C35" s="57">
        <v>4856355</v>
      </c>
    </row>
    <row r="36" spans="1:3" ht="15.75">
      <c r="A36" s="208" t="s">
        <v>377</v>
      </c>
      <c r="B36" s="209"/>
      <c r="C36" s="57">
        <v>14143670</v>
      </c>
    </row>
    <row r="37" spans="1:3" ht="15.75">
      <c r="A37" s="208" t="s">
        <v>379</v>
      </c>
      <c r="B37" s="209"/>
      <c r="C37" s="57">
        <v>213248150</v>
      </c>
    </row>
    <row r="38" spans="1:3" ht="15.75">
      <c r="A38" s="16" t="s">
        <v>380</v>
      </c>
      <c r="B38" s="41"/>
      <c r="C38" s="57">
        <v>28550000</v>
      </c>
    </row>
    <row r="39" spans="1:3" ht="15.75">
      <c r="A39" s="208" t="s">
        <v>381</v>
      </c>
      <c r="B39" s="209"/>
      <c r="C39" s="57">
        <v>25695000</v>
      </c>
    </row>
    <row r="40" spans="1:3" ht="15.75">
      <c r="A40" s="208" t="s">
        <v>382</v>
      </c>
      <c r="B40" s="209"/>
      <c r="C40" s="57">
        <v>34716800</v>
      </c>
    </row>
    <row r="41" spans="1:3" ht="15.75">
      <c r="A41" s="208" t="s">
        <v>383</v>
      </c>
      <c r="B41" s="209"/>
      <c r="C41" s="57">
        <v>1713000</v>
      </c>
    </row>
    <row r="42" spans="1:4" ht="15.75">
      <c r="A42" s="208" t="s">
        <v>384</v>
      </c>
      <c r="B42" s="209"/>
      <c r="C42" s="57">
        <v>157137070</v>
      </c>
      <c r="D42" s="128">
        <f>SUM(C42)</f>
        <v>157137070</v>
      </c>
    </row>
    <row r="43" spans="1:4" ht="15.75">
      <c r="A43" s="214" t="s">
        <v>391</v>
      </c>
      <c r="B43" s="214"/>
      <c r="C43" s="129">
        <f>SUM(C24:C42)</f>
        <v>9427183099</v>
      </c>
      <c r="D43" s="128"/>
    </row>
    <row r="44" spans="1:3" ht="15.75">
      <c r="A44" s="85"/>
      <c r="B44" s="85"/>
      <c r="C44" s="86"/>
    </row>
    <row r="45" spans="1:3" ht="15.75">
      <c r="A45" s="85"/>
      <c r="B45" s="85"/>
      <c r="C45" s="86"/>
    </row>
    <row r="46" spans="1:3" ht="15.75">
      <c r="A46" s="219" t="s">
        <v>392</v>
      </c>
      <c r="B46" s="220"/>
      <c r="C46" s="221"/>
    </row>
    <row r="47" spans="1:4" ht="15.75">
      <c r="A47" s="206" t="s">
        <v>318</v>
      </c>
      <c r="B47" s="207"/>
      <c r="C47" s="130">
        <v>1045000</v>
      </c>
      <c r="D47" s="153">
        <f>SUM(C47:C49)</f>
        <v>2612579</v>
      </c>
    </row>
    <row r="48" spans="1:3" ht="15.75">
      <c r="A48" s="206" t="s">
        <v>353</v>
      </c>
      <c r="B48" s="207"/>
      <c r="C48" s="130">
        <f>2547579-1800000</f>
        <v>747579</v>
      </c>
    </row>
    <row r="49" spans="1:3" ht="15.75">
      <c r="A49" s="206" t="s">
        <v>393</v>
      </c>
      <c r="B49" s="207"/>
      <c r="C49" s="130">
        <v>820000</v>
      </c>
    </row>
    <row r="50" spans="1:4" ht="15.75">
      <c r="A50" s="208" t="s">
        <v>394</v>
      </c>
      <c r="B50" s="209"/>
      <c r="C50" s="130">
        <v>2612880</v>
      </c>
      <c r="D50" s="153">
        <f>SUM(C50)</f>
        <v>2612880</v>
      </c>
    </row>
    <row r="51" spans="1:4" ht="15.75">
      <c r="A51" s="82" t="s">
        <v>323</v>
      </c>
      <c r="B51" s="83"/>
      <c r="C51" s="130">
        <v>800000</v>
      </c>
      <c r="D51" s="153">
        <f>SUM(C51:C52)</f>
        <v>1300000</v>
      </c>
    </row>
    <row r="52" spans="1:3" ht="15.75">
      <c r="A52" s="208" t="s">
        <v>395</v>
      </c>
      <c r="B52" s="209"/>
      <c r="C52" s="130">
        <v>500000</v>
      </c>
    </row>
    <row r="53" spans="1:4" ht="15.75">
      <c r="A53" s="214" t="s">
        <v>391</v>
      </c>
      <c r="B53" s="214"/>
      <c r="C53" s="131">
        <f>SUM(C47:C52)</f>
        <v>6525459</v>
      </c>
      <c r="D53" s="78">
        <f>SUM(D47:D52)</f>
        <v>6525459</v>
      </c>
    </row>
    <row r="54" spans="1:3" ht="15.75">
      <c r="A54" s="85"/>
      <c r="B54" s="85"/>
      <c r="C54" s="86"/>
    </row>
    <row r="57" spans="1:3" ht="15.75">
      <c r="A57" s="219" t="s">
        <v>396</v>
      </c>
      <c r="B57" s="220"/>
      <c r="C57" s="221"/>
    </row>
    <row r="58" spans="1:4" s="94" customFormat="1" ht="15.75">
      <c r="A58" s="95" t="s">
        <v>398</v>
      </c>
      <c r="B58" s="96"/>
      <c r="C58" s="97">
        <v>110411061</v>
      </c>
      <c r="D58" s="154">
        <f>SUM(C58:C59)</f>
        <v>120411061</v>
      </c>
    </row>
    <row r="59" spans="1:3" ht="15.75">
      <c r="A59" s="206" t="s">
        <v>352</v>
      </c>
      <c r="B59" s="207"/>
      <c r="C59" s="59">
        <v>10000000</v>
      </c>
    </row>
    <row r="60" spans="1:4" ht="15.75">
      <c r="A60" s="208" t="s">
        <v>399</v>
      </c>
      <c r="B60" s="209"/>
      <c r="C60" s="59">
        <v>10000000</v>
      </c>
      <c r="D60" s="128">
        <f>SUM(C60:C61)</f>
        <v>11000000</v>
      </c>
    </row>
    <row r="61" spans="1:3" ht="15.75">
      <c r="A61" s="208" t="s">
        <v>372</v>
      </c>
      <c r="B61" s="209"/>
      <c r="C61" s="59">
        <v>1000000</v>
      </c>
    </row>
    <row r="62" spans="1:4" ht="15.75">
      <c r="A62" s="215" t="s">
        <v>400</v>
      </c>
      <c r="B62" s="215"/>
      <c r="C62" s="56">
        <v>949142730</v>
      </c>
      <c r="D62" s="128">
        <f>SUM(C62:C64)</f>
        <v>3571326141</v>
      </c>
    </row>
    <row r="63" spans="1:3" ht="15.75">
      <c r="A63" s="206" t="s">
        <v>401</v>
      </c>
      <c r="B63" s="207"/>
      <c r="C63" s="59">
        <v>122183411</v>
      </c>
    </row>
    <row r="64" spans="1:3" ht="31.5" customHeight="1">
      <c r="A64" s="222" t="s">
        <v>402</v>
      </c>
      <c r="B64" s="223"/>
      <c r="C64" s="56">
        <v>2500000000</v>
      </c>
    </row>
    <row r="65" spans="1:5" ht="15.75">
      <c r="A65" s="214" t="s">
        <v>391</v>
      </c>
      <c r="B65" s="214"/>
      <c r="C65" s="129">
        <f>SUM(C58:C64)</f>
        <v>3702737202</v>
      </c>
      <c r="D65" s="34">
        <f>SUM(D58:D64)</f>
        <v>3702737202</v>
      </c>
      <c r="E65" s="37"/>
    </row>
    <row r="66" ht="15.75">
      <c r="C66" s="77"/>
    </row>
    <row r="68" spans="1:3" ht="15.75" customHeight="1">
      <c r="A68" s="219" t="s">
        <v>403</v>
      </c>
      <c r="B68" s="220"/>
      <c r="C68" s="221"/>
    </row>
    <row r="69" spans="1:4" ht="15.75">
      <c r="A69" s="206" t="s">
        <v>325</v>
      </c>
      <c r="B69" s="207"/>
      <c r="C69" s="130">
        <v>580000</v>
      </c>
      <c r="D69" s="153">
        <f>SUM(C69:C74)</f>
        <v>8108000</v>
      </c>
    </row>
    <row r="70" spans="1:4" ht="15.75">
      <c r="A70" s="206" t="s">
        <v>318</v>
      </c>
      <c r="B70" s="207"/>
      <c r="C70" s="130">
        <v>2000000</v>
      </c>
      <c r="D70" s="34"/>
    </row>
    <row r="71" spans="1:3" ht="15.75">
      <c r="A71" s="206" t="s">
        <v>353</v>
      </c>
      <c r="B71" s="207"/>
      <c r="C71" s="130">
        <v>1040000</v>
      </c>
    </row>
    <row r="72" spans="1:3" ht="15.75">
      <c r="A72" s="206" t="s">
        <v>354</v>
      </c>
      <c r="B72" s="207"/>
      <c r="C72" s="130">
        <v>2120000</v>
      </c>
    </row>
    <row r="73" spans="1:3" ht="15.75">
      <c r="A73" s="206" t="s">
        <v>357</v>
      </c>
      <c r="B73" s="207"/>
      <c r="C73" s="130">
        <v>540000</v>
      </c>
    </row>
    <row r="74" spans="1:3" ht="15.75">
      <c r="A74" s="206" t="s">
        <v>358</v>
      </c>
      <c r="B74" s="207"/>
      <c r="C74" s="130">
        <f>3328000-1500000</f>
        <v>1828000</v>
      </c>
    </row>
    <row r="75" spans="1:4" ht="15.75">
      <c r="A75" s="206" t="s">
        <v>363</v>
      </c>
      <c r="B75" s="207"/>
      <c r="C75" s="130">
        <v>1000000</v>
      </c>
      <c r="D75" s="153">
        <f>SUM(C75:C76)</f>
        <v>2080000</v>
      </c>
    </row>
    <row r="76" spans="1:3" ht="15.75">
      <c r="A76" s="206" t="s">
        <v>370</v>
      </c>
      <c r="B76" s="207"/>
      <c r="C76" s="130">
        <v>1080000</v>
      </c>
    </row>
    <row r="77" spans="1:4" ht="15.75">
      <c r="A77" s="206" t="s">
        <v>323</v>
      </c>
      <c r="B77" s="207"/>
      <c r="C77" s="130">
        <v>1500000</v>
      </c>
      <c r="D77" s="153">
        <f>SUM(C77:C78)</f>
        <v>2500000</v>
      </c>
    </row>
    <row r="78" spans="1:3" ht="15.75">
      <c r="A78" s="206" t="s">
        <v>404</v>
      </c>
      <c r="B78" s="207"/>
      <c r="C78" s="130">
        <v>1000000</v>
      </c>
    </row>
    <row r="79" spans="1:7" ht="15.75">
      <c r="A79" s="214" t="s">
        <v>391</v>
      </c>
      <c r="B79" s="214"/>
      <c r="C79" s="130">
        <f>SUM(C69:C78)</f>
        <v>12688000</v>
      </c>
      <c r="D79" s="153">
        <f>SUM(D69:D78)</f>
        <v>12688000</v>
      </c>
      <c r="E79" s="151"/>
      <c r="F79" s="151"/>
      <c r="G79" s="152"/>
    </row>
    <row r="80" spans="5:7" ht="15.75">
      <c r="E80" s="151"/>
      <c r="F80" s="151"/>
      <c r="G80" s="152"/>
    </row>
    <row r="81" spans="5:7" ht="15.75">
      <c r="E81" s="151"/>
      <c r="F81" s="151"/>
      <c r="G81" s="152"/>
    </row>
    <row r="82" spans="1:6" ht="15.75">
      <c r="A82" s="85"/>
      <c r="B82" s="85"/>
      <c r="C82" s="132"/>
      <c r="D82" s="78"/>
      <c r="F82" s="37"/>
    </row>
    <row r="86" spans="1:5" ht="15.75">
      <c r="A86" s="218" t="s">
        <v>405</v>
      </c>
      <c r="B86" s="218"/>
      <c r="C86" s="218"/>
      <c r="D86" s="218"/>
      <c r="E86" s="218"/>
    </row>
    <row r="87" spans="1:5" ht="38.25" customHeight="1">
      <c r="A87" s="133" t="s">
        <v>406</v>
      </c>
      <c r="B87" s="134" t="s">
        <v>407</v>
      </c>
      <c r="C87" s="134" t="s">
        <v>408</v>
      </c>
      <c r="D87" s="134" t="s">
        <v>409</v>
      </c>
      <c r="E87" s="135" t="s">
        <v>410</v>
      </c>
    </row>
    <row r="88" spans="1:5" ht="15.75">
      <c r="A88" s="136" t="s">
        <v>411</v>
      </c>
      <c r="B88" s="137">
        <f>SUM(B89:B96)</f>
        <v>24337049000</v>
      </c>
      <c r="C88" s="137">
        <f>SUM(C89:C96)</f>
        <v>27008787917</v>
      </c>
      <c r="D88" s="137">
        <f>SUM(D89:D96)</f>
        <v>9427183099</v>
      </c>
      <c r="E88" s="137">
        <f>+C88+D88</f>
        <v>36435971016</v>
      </c>
    </row>
    <row r="89" spans="1:5" ht="15.75">
      <c r="A89" s="139" t="s">
        <v>412</v>
      </c>
      <c r="B89" s="140">
        <v>7145045966</v>
      </c>
      <c r="C89" s="141">
        <f>PresupTotal!C6</f>
        <v>7422447779</v>
      </c>
      <c r="D89" s="142">
        <v>0</v>
      </c>
      <c r="E89" s="143">
        <f>+C89+D89</f>
        <v>7422447779</v>
      </c>
    </row>
    <row r="90" spans="1:5" ht="15.75">
      <c r="A90" s="139" t="s">
        <v>413</v>
      </c>
      <c r="B90" s="140">
        <v>1321873540</v>
      </c>
      <c r="C90" s="141">
        <f>PresupTotal!C27</f>
        <v>1199989806</v>
      </c>
      <c r="D90" s="142">
        <f>D24</f>
        <v>182971747</v>
      </c>
      <c r="E90" s="143">
        <f aca="true" t="shared" si="0" ref="E90:E96">+C90+D90</f>
        <v>1382961553</v>
      </c>
    </row>
    <row r="91" spans="1:5" ht="15.75">
      <c r="A91" s="139" t="s">
        <v>414</v>
      </c>
      <c r="B91" s="140">
        <v>129906781</v>
      </c>
      <c r="C91" s="141">
        <f>PresupTotal!C78</f>
        <v>87512586</v>
      </c>
      <c r="D91" s="142">
        <f>D31</f>
        <v>6449294</v>
      </c>
      <c r="E91" s="143">
        <f t="shared" si="0"/>
        <v>93961880</v>
      </c>
    </row>
    <row r="92" spans="1:5" ht="15.75">
      <c r="A92" s="139" t="s">
        <v>415</v>
      </c>
      <c r="B92" s="140">
        <v>15065314</v>
      </c>
      <c r="C92" s="141">
        <f>+'[1]PresupTotal'!E110</f>
        <v>0</v>
      </c>
      <c r="D92" s="142">
        <f>D33</f>
        <v>7702013</v>
      </c>
      <c r="E92" s="143">
        <f t="shared" si="0"/>
        <v>7702013</v>
      </c>
    </row>
    <row r="93" spans="1:5" ht="15.75">
      <c r="A93" s="139" t="s">
        <v>416</v>
      </c>
      <c r="B93" s="140">
        <v>174326628</v>
      </c>
      <c r="C93" s="141">
        <f>PresupTotal!C114</f>
        <v>152000000</v>
      </c>
      <c r="D93" s="142">
        <v>0</v>
      </c>
      <c r="E93" s="143">
        <f t="shared" si="0"/>
        <v>152000000</v>
      </c>
    </row>
    <row r="94" spans="1:5" ht="15.75">
      <c r="A94" s="139" t="s">
        <v>417</v>
      </c>
      <c r="B94" s="140">
        <v>15345259014</v>
      </c>
      <c r="C94" s="141">
        <f>PresupTotal!C128</f>
        <v>18146837746</v>
      </c>
      <c r="D94" s="142">
        <f>D34</f>
        <v>9072922975</v>
      </c>
      <c r="E94" s="143">
        <f t="shared" si="0"/>
        <v>27219760721</v>
      </c>
    </row>
    <row r="95" spans="1:5" ht="15.75">
      <c r="A95" s="139" t="s">
        <v>418</v>
      </c>
      <c r="B95" s="140">
        <v>45500000</v>
      </c>
      <c r="C95" s="141">
        <f>+'[1]PresupTotal'!E157</f>
        <v>0</v>
      </c>
      <c r="D95" s="142">
        <v>0</v>
      </c>
      <c r="E95" s="143">
        <f t="shared" si="0"/>
        <v>0</v>
      </c>
    </row>
    <row r="96" spans="1:5" ht="15.75">
      <c r="A96" s="139" t="s">
        <v>419</v>
      </c>
      <c r="B96" s="140">
        <v>160071757</v>
      </c>
      <c r="C96" s="141">
        <f>+'[1]PresupTotal'!E166</f>
        <v>0</v>
      </c>
      <c r="D96" s="142">
        <f>D42</f>
        <v>157137070</v>
      </c>
      <c r="E96" s="143">
        <f t="shared" si="0"/>
        <v>157137070</v>
      </c>
    </row>
    <row r="97" spans="1:5" ht="31.5">
      <c r="A97" s="136" t="s">
        <v>420</v>
      </c>
      <c r="B97" s="144">
        <f>SUM(B98:B104)</f>
        <v>1050193000</v>
      </c>
      <c r="C97" s="144">
        <f>SUM(C98:C104)</f>
        <v>1149297000</v>
      </c>
      <c r="D97" s="144">
        <f>SUM(D98:D104)</f>
        <v>6525459</v>
      </c>
      <c r="E97" s="137">
        <f>+C97+D97</f>
        <v>1155822459</v>
      </c>
    </row>
    <row r="98" spans="1:5" ht="15.75">
      <c r="A98" s="139" t="s">
        <v>412</v>
      </c>
      <c r="B98" s="145">
        <v>999131551</v>
      </c>
      <c r="C98" s="141">
        <f>PresupTotal!D6</f>
        <v>1108090037</v>
      </c>
      <c r="D98" s="142">
        <v>0</v>
      </c>
      <c r="E98" s="143">
        <f aca="true" t="shared" si="1" ref="E98:E104">+C98+D98</f>
        <v>1108090037</v>
      </c>
    </row>
    <row r="99" spans="1:5" ht="15.75">
      <c r="A99" s="139" t="s">
        <v>413</v>
      </c>
      <c r="B99" s="145">
        <v>19807019</v>
      </c>
      <c r="C99" s="141">
        <f>PresupTotal!D27</f>
        <v>13371942</v>
      </c>
      <c r="D99" s="142">
        <f>D47</f>
        <v>2612579</v>
      </c>
      <c r="E99" s="143">
        <f t="shared" si="1"/>
        <v>15984521</v>
      </c>
    </row>
    <row r="100" spans="1:5" ht="15.75">
      <c r="A100" s="139" t="s">
        <v>414</v>
      </c>
      <c r="B100" s="145">
        <v>14227000</v>
      </c>
      <c r="C100" s="141">
        <f>PresupTotal!D78</f>
        <v>8864000</v>
      </c>
      <c r="D100" s="142">
        <f>Hoja2!D50</f>
        <v>2612880</v>
      </c>
      <c r="E100" s="143">
        <f t="shared" si="1"/>
        <v>11476880</v>
      </c>
    </row>
    <row r="101" spans="1:5" ht="15.75">
      <c r="A101" s="139" t="s">
        <v>415</v>
      </c>
      <c r="B101" s="145">
        <v>0</v>
      </c>
      <c r="C101" s="141">
        <f>+'[1]PresupTotal'!F110</f>
        <v>0</v>
      </c>
      <c r="D101" s="142"/>
      <c r="E101" s="143">
        <f t="shared" si="1"/>
        <v>0</v>
      </c>
    </row>
    <row r="102" spans="1:5" ht="15.75">
      <c r="A102" s="139" t="s">
        <v>416</v>
      </c>
      <c r="B102" s="145">
        <v>0</v>
      </c>
      <c r="C102" s="141">
        <f>PresupTotal!D114</f>
        <v>2000000</v>
      </c>
      <c r="D102" s="142">
        <f>D51</f>
        <v>1300000</v>
      </c>
      <c r="E102" s="143">
        <f t="shared" si="1"/>
        <v>3300000</v>
      </c>
    </row>
    <row r="103" spans="1:5" ht="15.75">
      <c r="A103" s="139" t="s">
        <v>417</v>
      </c>
      <c r="B103" s="145">
        <v>17027430</v>
      </c>
      <c r="C103" s="141">
        <f>PresupTotal!D128</f>
        <v>16971021</v>
      </c>
      <c r="D103" s="142">
        <v>0</v>
      </c>
      <c r="E103" s="143">
        <f t="shared" si="1"/>
        <v>16971021</v>
      </c>
    </row>
    <row r="104" spans="1:5" ht="15.75">
      <c r="A104" s="139" t="s">
        <v>418</v>
      </c>
      <c r="B104" s="145">
        <v>0</v>
      </c>
      <c r="C104" s="141">
        <f>+'[1]PresupTotal'!F157</f>
        <v>0</v>
      </c>
      <c r="D104" s="142">
        <v>0</v>
      </c>
      <c r="E104" s="146">
        <f t="shared" si="1"/>
        <v>0</v>
      </c>
    </row>
    <row r="105" spans="1:5" ht="34.5" customHeight="1">
      <c r="A105" s="136" t="s">
        <v>421</v>
      </c>
      <c r="B105" s="144">
        <f>SUM(B106:B112)</f>
        <v>14962461000</v>
      </c>
      <c r="C105" s="144">
        <f>SUM(C106:C112)</f>
        <v>16371567000</v>
      </c>
      <c r="D105" s="144">
        <f>SUM(D106:D112)</f>
        <v>3702737202</v>
      </c>
      <c r="E105" s="143">
        <f>+C105+D105</f>
        <v>20074304202</v>
      </c>
    </row>
    <row r="106" spans="1:5" ht="15.75">
      <c r="A106" s="139" t="s">
        <v>412</v>
      </c>
      <c r="B106" s="145">
        <v>10326105000</v>
      </c>
      <c r="C106" s="141">
        <f>PresupTotal!E6</f>
        <v>10811596889</v>
      </c>
      <c r="D106" s="142">
        <v>0</v>
      </c>
      <c r="E106" s="143">
        <f aca="true" t="shared" si="2" ref="E106:E112">+C106+D106</f>
        <v>10811596889</v>
      </c>
    </row>
    <row r="107" spans="1:5" ht="15.75">
      <c r="A107" s="139" t="s">
        <v>413</v>
      </c>
      <c r="B107" s="145">
        <v>942617690</v>
      </c>
      <c r="C107" s="141">
        <f>PresupTotal!E27</f>
        <v>968559298</v>
      </c>
      <c r="D107" s="142">
        <f>D58</f>
        <v>120411061</v>
      </c>
      <c r="E107" s="143">
        <f t="shared" si="2"/>
        <v>1088970359</v>
      </c>
    </row>
    <row r="108" spans="1:5" ht="15.75">
      <c r="A108" s="139" t="s">
        <v>414</v>
      </c>
      <c r="B108" s="145">
        <v>390331416</v>
      </c>
      <c r="C108" s="141">
        <f>PresupTotal!E78</f>
        <v>392735027</v>
      </c>
      <c r="D108" s="142">
        <f>D60</f>
        <v>11000000</v>
      </c>
      <c r="E108" s="143">
        <f t="shared" si="2"/>
        <v>403735027</v>
      </c>
    </row>
    <row r="109" spans="1:5" ht="15.75">
      <c r="A109" s="139" t="s">
        <v>415</v>
      </c>
      <c r="B109" s="145">
        <v>0</v>
      </c>
      <c r="C109" s="141">
        <f>+'[1]PresupTotal'!G110</f>
        <v>0</v>
      </c>
      <c r="D109" s="142">
        <v>0</v>
      </c>
      <c r="E109" s="143">
        <f t="shared" si="2"/>
        <v>0</v>
      </c>
    </row>
    <row r="110" spans="1:5" ht="15.75">
      <c r="A110" s="139" t="s">
        <v>416</v>
      </c>
      <c r="B110" s="145">
        <v>51148000</v>
      </c>
      <c r="C110" s="141">
        <f>PresupTotal!E114</f>
        <v>416643230</v>
      </c>
      <c r="D110" s="142">
        <v>0</v>
      </c>
      <c r="E110" s="143">
        <f t="shared" si="2"/>
        <v>416643230</v>
      </c>
    </row>
    <row r="111" spans="1:5" ht="15.75">
      <c r="A111" s="139" t="s">
        <v>417</v>
      </c>
      <c r="B111" s="145">
        <v>83958894</v>
      </c>
      <c r="C111" s="141">
        <f>PresupTotal!E128</f>
        <v>213732556</v>
      </c>
      <c r="D111" s="142"/>
      <c r="E111" s="143">
        <f t="shared" si="2"/>
        <v>213732556</v>
      </c>
    </row>
    <row r="112" spans="1:5" ht="15.75">
      <c r="A112" s="139" t="s">
        <v>418</v>
      </c>
      <c r="B112" s="145">
        <v>3168300000</v>
      </c>
      <c r="C112" s="141">
        <f>PresupTotal!E167</f>
        <v>3568300000</v>
      </c>
      <c r="D112" s="142">
        <f>D62</f>
        <v>3571326141</v>
      </c>
      <c r="E112" s="143">
        <f t="shared" si="2"/>
        <v>7139626141</v>
      </c>
    </row>
    <row r="113" spans="1:5" ht="15.75">
      <c r="A113" s="147" t="s">
        <v>422</v>
      </c>
      <c r="B113" s="144">
        <f>SUM(B114:B120)</f>
        <v>232613000</v>
      </c>
      <c r="C113" s="144">
        <f>SUM(C114:C120)</f>
        <v>240209000</v>
      </c>
      <c r="D113" s="138">
        <f>SUM(D114:D120)</f>
        <v>12688000</v>
      </c>
      <c r="E113" s="137">
        <f>+C113+D113</f>
        <v>252897000</v>
      </c>
    </row>
    <row r="114" spans="1:5" ht="15.75">
      <c r="A114" s="139" t="s">
        <v>412</v>
      </c>
      <c r="B114" s="145">
        <v>0</v>
      </c>
      <c r="C114" s="145">
        <f>+'[1]PresupTotal'!H7</f>
        <v>0</v>
      </c>
      <c r="D114" s="141">
        <v>0</v>
      </c>
      <c r="E114" s="143">
        <f aca="true" t="shared" si="3" ref="E114:E120">+C114+D114</f>
        <v>0</v>
      </c>
    </row>
    <row r="115" spans="1:5" ht="15.75">
      <c r="A115" s="139" t="s">
        <v>413</v>
      </c>
      <c r="B115" s="145">
        <v>148550000</v>
      </c>
      <c r="C115" s="145">
        <f>PresupTotal!F27</f>
        <v>138132800</v>
      </c>
      <c r="D115" s="141">
        <f>D69</f>
        <v>8108000</v>
      </c>
      <c r="E115" s="143">
        <f t="shared" si="3"/>
        <v>146240800</v>
      </c>
    </row>
    <row r="116" spans="1:5" ht="15.75">
      <c r="A116" s="139" t="s">
        <v>414</v>
      </c>
      <c r="B116" s="145">
        <v>35563000</v>
      </c>
      <c r="C116" s="145">
        <f>PresupTotal!F78</f>
        <v>26297200</v>
      </c>
      <c r="D116" s="141">
        <f>D75</f>
        <v>2080000</v>
      </c>
      <c r="E116" s="143">
        <f t="shared" si="3"/>
        <v>28377200</v>
      </c>
    </row>
    <row r="117" spans="1:5" ht="15.75">
      <c r="A117" s="139" t="s">
        <v>415</v>
      </c>
      <c r="B117" s="145">
        <v>0</v>
      </c>
      <c r="C117" s="145">
        <f>+'[1]PresupTotal'!H110</f>
        <v>0</v>
      </c>
      <c r="D117" s="141">
        <v>0</v>
      </c>
      <c r="E117" s="143">
        <f t="shared" si="3"/>
        <v>0</v>
      </c>
    </row>
    <row r="118" spans="1:5" ht="15.75">
      <c r="A118" s="139" t="s">
        <v>416</v>
      </c>
      <c r="B118" s="145">
        <v>0</v>
      </c>
      <c r="C118" s="145">
        <f>PresupTotal!F114</f>
        <v>75779000</v>
      </c>
      <c r="D118" s="141">
        <f>D77</f>
        <v>2500000</v>
      </c>
      <c r="E118" s="143">
        <f t="shared" si="3"/>
        <v>78279000</v>
      </c>
    </row>
    <row r="119" spans="1:5" ht="15.75">
      <c r="A119" s="139" t="s">
        <v>417</v>
      </c>
      <c r="B119" s="145">
        <v>0</v>
      </c>
      <c r="C119" s="145">
        <f>+'[1]PresupTotal'!H126</f>
        <v>0</v>
      </c>
      <c r="D119" s="141"/>
      <c r="E119" s="143">
        <f t="shared" si="3"/>
        <v>0</v>
      </c>
    </row>
    <row r="120" spans="1:5" ht="15.75">
      <c r="A120" s="139" t="s">
        <v>418</v>
      </c>
      <c r="B120" s="145">
        <v>48500000</v>
      </c>
      <c r="C120" s="145">
        <f>+'[1]PresupTotal'!H157</f>
        <v>0</v>
      </c>
      <c r="D120" s="141">
        <v>0</v>
      </c>
      <c r="E120" s="143">
        <f t="shared" si="3"/>
        <v>0</v>
      </c>
    </row>
    <row r="121" spans="1:5" ht="15.75">
      <c r="A121" s="139"/>
      <c r="B121" s="155"/>
      <c r="C121" s="155"/>
      <c r="D121" s="141"/>
      <c r="E121" s="143"/>
    </row>
    <row r="122" spans="1:5" ht="15.75">
      <c r="A122" s="148" t="s">
        <v>9</v>
      </c>
      <c r="B122" s="149">
        <v>40674000000</v>
      </c>
      <c r="C122" s="149">
        <f>+C88+C97+C105+C113</f>
        <v>44769860917</v>
      </c>
      <c r="D122" s="150">
        <f>+D88+D97+D105+D113</f>
        <v>13149133760</v>
      </c>
      <c r="E122" s="149">
        <f>+E88+E97+E105+E113</f>
        <v>57918994677</v>
      </c>
    </row>
    <row r="133" spans="1:3" ht="15.75">
      <c r="A133" s="219" t="s">
        <v>396</v>
      </c>
      <c r="B133" s="220"/>
      <c r="C133" s="221"/>
    </row>
    <row r="134" spans="1:3" ht="15.75">
      <c r="A134" s="215" t="s">
        <v>312</v>
      </c>
      <c r="B134" s="215"/>
      <c r="C134" s="56">
        <f>1526642730-600000000</f>
        <v>926642730</v>
      </c>
    </row>
    <row r="135" spans="1:3" ht="15.75">
      <c r="A135" s="215" t="s">
        <v>313</v>
      </c>
      <c r="B135" s="215"/>
      <c r="C135" s="56">
        <v>650000000</v>
      </c>
    </row>
    <row r="136" spans="1:3" ht="15.75">
      <c r="A136" s="208" t="s">
        <v>209</v>
      </c>
      <c r="B136" s="209"/>
      <c r="C136" s="56">
        <v>189816589</v>
      </c>
    </row>
    <row r="137" spans="1:3" ht="15.75">
      <c r="A137" s="215" t="s">
        <v>397</v>
      </c>
      <c r="B137" s="215"/>
      <c r="C137" s="59">
        <v>573328176</v>
      </c>
    </row>
    <row r="138" spans="1:3" ht="15.75">
      <c r="A138" s="214" t="s">
        <v>391</v>
      </c>
      <c r="B138" s="214"/>
      <c r="C138" s="129">
        <f>SUM(C134:C137)</f>
        <v>2339787495</v>
      </c>
    </row>
    <row r="139" spans="1:3" ht="15.75">
      <c r="A139" s="101"/>
      <c r="B139" s="101"/>
      <c r="C139" s="60"/>
    </row>
  </sheetData>
  <sheetProtection/>
  <mergeCells count="53">
    <mergeCell ref="B20:C20"/>
    <mergeCell ref="A23:C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6:B36"/>
    <mergeCell ref="A37:B37"/>
    <mergeCell ref="A39:B39"/>
    <mergeCell ref="A40:B40"/>
    <mergeCell ref="A41:B41"/>
    <mergeCell ref="A42:B42"/>
    <mergeCell ref="A43:B43"/>
    <mergeCell ref="A46:C46"/>
    <mergeCell ref="A47:B47"/>
    <mergeCell ref="A48:B48"/>
    <mergeCell ref="A49:B49"/>
    <mergeCell ref="A50:B50"/>
    <mergeCell ref="A52:B52"/>
    <mergeCell ref="A53:B53"/>
    <mergeCell ref="A133:C133"/>
    <mergeCell ref="A134:B134"/>
    <mergeCell ref="A135:B135"/>
    <mergeCell ref="A136:B136"/>
    <mergeCell ref="A63:B63"/>
    <mergeCell ref="A64:B64"/>
    <mergeCell ref="A65:B65"/>
    <mergeCell ref="A68:C68"/>
    <mergeCell ref="A137:B137"/>
    <mergeCell ref="A138:B138"/>
    <mergeCell ref="A57:C57"/>
    <mergeCell ref="A59:B59"/>
    <mergeCell ref="A60:B60"/>
    <mergeCell ref="A61:B61"/>
    <mergeCell ref="A70:B70"/>
    <mergeCell ref="A71:B71"/>
    <mergeCell ref="A72:B72"/>
    <mergeCell ref="A62:B62"/>
    <mergeCell ref="A69:B69"/>
    <mergeCell ref="A86:E86"/>
    <mergeCell ref="A79:B79"/>
    <mergeCell ref="A73:B73"/>
    <mergeCell ref="A74:B74"/>
    <mergeCell ref="A75:B75"/>
    <mergeCell ref="A76:B76"/>
    <mergeCell ref="A77:B77"/>
    <mergeCell ref="A78:B7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A53">
      <selection activeCell="A84" sqref="A84"/>
    </sheetView>
  </sheetViews>
  <sheetFormatPr defaultColWidth="12" defaultRowHeight="12.75"/>
  <cols>
    <col min="1" max="1" width="10.5" style="0" customWidth="1"/>
    <col min="2" max="2" width="43" style="0" customWidth="1"/>
    <col min="3" max="3" width="23.5" style="1" hidden="1" customWidth="1"/>
    <col min="4" max="4" width="23.5" style="1" customWidth="1"/>
    <col min="5" max="5" width="22.5" style="1" hidden="1" customWidth="1"/>
    <col min="6" max="6" width="22.5" style="1" customWidth="1"/>
    <col min="7" max="7" width="25.66015625" style="0" hidden="1" customWidth="1"/>
    <col min="8" max="8" width="25.66015625" style="0" customWidth="1"/>
    <col min="9" max="9" width="19.66015625" style="0" hidden="1" customWidth="1"/>
    <col min="10" max="10" width="19.66015625" style="0" customWidth="1"/>
    <col min="11" max="11" width="22.5" style="0" hidden="1" customWidth="1"/>
    <col min="12" max="13" width="23.5" style="0" hidden="1" customWidth="1"/>
    <col min="14" max="14" width="26.33203125" style="0" hidden="1" customWidth="1"/>
    <col min="15" max="15" width="10.66015625" style="0" customWidth="1"/>
    <col min="16" max="16" width="20.5" style="0" customWidth="1"/>
    <col min="17" max="17" width="20.83203125" style="0" customWidth="1"/>
    <col min="18" max="18" width="21.83203125" style="0" customWidth="1"/>
    <col min="19" max="19" width="19.83203125" style="0" customWidth="1"/>
  </cols>
  <sheetData>
    <row r="1" spans="1:11" s="2" customFormat="1" ht="20.25">
      <c r="A1" s="2" t="s">
        <v>10</v>
      </c>
      <c r="C1" s="3"/>
      <c r="D1" s="3"/>
      <c r="E1" s="3"/>
      <c r="F1" s="3"/>
      <c r="G1" s="156"/>
      <c r="H1" s="156"/>
      <c r="I1" s="230"/>
      <c r="J1" s="230"/>
      <c r="K1" s="231"/>
    </row>
    <row r="2" spans="1:8" s="2" customFormat="1" ht="20.25">
      <c r="A2" s="2" t="s">
        <v>423</v>
      </c>
      <c r="C2" s="3"/>
      <c r="D2" s="3"/>
      <c r="E2" s="3"/>
      <c r="F2" s="3"/>
      <c r="G2" s="53"/>
      <c r="H2" s="53"/>
    </row>
    <row r="3" spans="3:8" s="2" customFormat="1" ht="20.25">
      <c r="C3" s="3"/>
      <c r="D3" s="3"/>
      <c r="E3" s="3"/>
      <c r="F3" s="3"/>
      <c r="G3" s="53"/>
      <c r="H3" s="53"/>
    </row>
    <row r="4" spans="2:19" s="4" customFormat="1" ht="15.75">
      <c r="B4" s="233" t="s">
        <v>452</v>
      </c>
      <c r="C4" s="234"/>
      <c r="D4" s="234"/>
      <c r="E4" s="234"/>
      <c r="F4" s="234"/>
      <c r="G4" s="234"/>
      <c r="H4" s="234"/>
      <c r="I4" s="234"/>
      <c r="J4" s="234"/>
      <c r="P4" s="232">
        <v>2015</v>
      </c>
      <c r="Q4" s="232"/>
      <c r="R4" s="232"/>
      <c r="S4" s="232"/>
    </row>
    <row r="5" spans="1:19" s="38" customFormat="1" ht="12.75" customHeight="1">
      <c r="A5" s="50"/>
      <c r="B5" s="50"/>
      <c r="C5" s="228">
        <v>169</v>
      </c>
      <c r="D5" s="228">
        <v>169</v>
      </c>
      <c r="E5" s="228">
        <v>170</v>
      </c>
      <c r="F5" s="228">
        <v>170</v>
      </c>
      <c r="G5" s="228">
        <v>175</v>
      </c>
      <c r="H5" s="228">
        <v>175</v>
      </c>
      <c r="I5" s="228">
        <v>185</v>
      </c>
      <c r="J5" s="228">
        <v>185</v>
      </c>
      <c r="K5" s="228" t="s">
        <v>9</v>
      </c>
      <c r="L5" s="235" t="s">
        <v>252</v>
      </c>
      <c r="M5" s="157"/>
      <c r="N5" s="158" t="s">
        <v>424</v>
      </c>
      <c r="P5" s="228">
        <v>169</v>
      </c>
      <c r="Q5" s="228">
        <v>170</v>
      </c>
      <c r="R5" s="228">
        <v>175</v>
      </c>
      <c r="S5" s="228">
        <v>185</v>
      </c>
    </row>
    <row r="6" spans="1:19" s="162" customFormat="1" ht="12.75">
      <c r="A6" s="51" t="s">
        <v>0</v>
      </c>
      <c r="B6" s="159"/>
      <c r="C6" s="229"/>
      <c r="D6" s="229"/>
      <c r="E6" s="229"/>
      <c r="F6" s="229"/>
      <c r="G6" s="229"/>
      <c r="H6" s="229"/>
      <c r="I6" s="229"/>
      <c r="J6" s="229"/>
      <c r="K6" s="229"/>
      <c r="L6" s="236"/>
      <c r="M6" s="160"/>
      <c r="N6" s="161" t="s">
        <v>425</v>
      </c>
      <c r="P6" s="229"/>
      <c r="Q6" s="229"/>
      <c r="R6" s="229"/>
      <c r="S6" s="229"/>
    </row>
    <row r="7" spans="1:14" s="4" customFormat="1" ht="15.75" hidden="1">
      <c r="A7" s="39">
        <v>0</v>
      </c>
      <c r="B7" s="9" t="s">
        <v>13</v>
      </c>
      <c r="C7" s="163">
        <f>SUM(C8,C10,C13,C19,C22)</f>
        <v>7145045966</v>
      </c>
      <c r="D7" s="163"/>
      <c r="E7" s="163">
        <f>SUM(E8,E10,E13,E19,E22)</f>
        <v>999131551</v>
      </c>
      <c r="F7" s="163"/>
      <c r="G7" s="163">
        <f>SUM(G8,G10,G13,G19,G22)</f>
        <v>10326105000</v>
      </c>
      <c r="H7" s="163"/>
      <c r="I7" s="163">
        <f>SUM(I8,I10,I13,I19,I22)</f>
        <v>0</v>
      </c>
      <c r="J7" s="163"/>
      <c r="K7" s="164">
        <f>SUM(C7:I7)</f>
        <v>18470282517</v>
      </c>
      <c r="L7" s="165">
        <f>SUM(L8,L10,L13,L19,L22)</f>
        <v>0</v>
      </c>
      <c r="M7" s="166"/>
      <c r="N7" s="165">
        <f>SUM(N8,N10,N13,N19,N22)</f>
        <v>17562302353</v>
      </c>
    </row>
    <row r="8" spans="1:14" s="13" customFormat="1" ht="15.75" hidden="1">
      <c r="A8" s="12" t="s">
        <v>43</v>
      </c>
      <c r="B8" s="13" t="s">
        <v>16</v>
      </c>
      <c r="C8" s="167">
        <f>SUM(C9)</f>
        <v>2466228302</v>
      </c>
      <c r="D8" s="167"/>
      <c r="E8" s="167">
        <f>SUM(E9)</f>
        <v>319920868</v>
      </c>
      <c r="F8" s="167"/>
      <c r="G8" s="167">
        <f>SUM(G9)</f>
        <v>3468995122</v>
      </c>
      <c r="H8" s="167"/>
      <c r="I8" s="167">
        <f>SUM(I9)</f>
        <v>0</v>
      </c>
      <c r="J8" s="167"/>
      <c r="K8" s="102">
        <f>SUM(C8:I8)</f>
        <v>6255144292</v>
      </c>
      <c r="L8" s="14">
        <f>SUM(L9)</f>
        <v>0</v>
      </c>
      <c r="M8" s="166"/>
      <c r="N8" s="14">
        <f>SUM(N9)</f>
        <v>5938339572</v>
      </c>
    </row>
    <row r="9" spans="1:14" s="19" customFormat="1" ht="15.75" hidden="1">
      <c r="A9" s="15" t="s">
        <v>44</v>
      </c>
      <c r="B9" s="16" t="s">
        <v>1</v>
      </c>
      <c r="C9" s="17">
        <v>2466228302</v>
      </c>
      <c r="D9" s="17"/>
      <c r="E9" s="17">
        <v>319920868</v>
      </c>
      <c r="F9" s="17"/>
      <c r="G9" s="18">
        <v>3468995122</v>
      </c>
      <c r="H9" s="18"/>
      <c r="I9" s="16"/>
      <c r="J9" s="16"/>
      <c r="K9" s="33">
        <f>SUM(C9,E9,G9,I9)</f>
        <v>6255144292</v>
      </c>
      <c r="L9" s="33"/>
      <c r="M9" s="166"/>
      <c r="N9" s="18">
        <v>5938339572</v>
      </c>
    </row>
    <row r="10" spans="1:14" s="13" customFormat="1" ht="15.75" hidden="1">
      <c r="A10" s="12" t="s">
        <v>45</v>
      </c>
      <c r="B10" s="20" t="s">
        <v>14</v>
      </c>
      <c r="C10" s="167">
        <f>SUM(C11:C12)</f>
        <v>42000000</v>
      </c>
      <c r="D10" s="167"/>
      <c r="E10" s="167">
        <f>SUM(E11:E12)</f>
        <v>3000000</v>
      </c>
      <c r="F10" s="167"/>
      <c r="G10" s="167">
        <f>SUM(G11:G12)</f>
        <v>8000000</v>
      </c>
      <c r="H10" s="167"/>
      <c r="I10" s="167">
        <f>SUM(I11:I12)</f>
        <v>0</v>
      </c>
      <c r="J10" s="167"/>
      <c r="K10" s="102">
        <f>SUM(C10:I10)</f>
        <v>53000000</v>
      </c>
      <c r="L10" s="14">
        <f>SUM(L11:L12)</f>
        <v>0</v>
      </c>
      <c r="M10" s="166"/>
      <c r="N10" s="14">
        <f>SUM(N11:N12)</f>
        <v>63000000</v>
      </c>
    </row>
    <row r="11" spans="1:14" s="19" customFormat="1" ht="15.75" hidden="1">
      <c r="A11" s="15" t="s">
        <v>46</v>
      </c>
      <c r="B11" s="16" t="s">
        <v>17</v>
      </c>
      <c r="C11" s="17">
        <v>39000000</v>
      </c>
      <c r="D11" s="17"/>
      <c r="E11" s="17">
        <v>3000000</v>
      </c>
      <c r="F11" s="17"/>
      <c r="G11" s="18">
        <v>8000000</v>
      </c>
      <c r="H11" s="18"/>
      <c r="I11" s="16"/>
      <c r="J11" s="16"/>
      <c r="K11" s="33">
        <f>SUM(C11,E11,G11)</f>
        <v>50000000</v>
      </c>
      <c r="L11" s="33"/>
      <c r="M11" s="166"/>
      <c r="N11" s="18">
        <v>53000000</v>
      </c>
    </row>
    <row r="12" spans="1:14" s="19" customFormat="1" ht="15.75" hidden="1">
      <c r="A12" s="15" t="s">
        <v>198</v>
      </c>
      <c r="B12" s="16" t="s">
        <v>241</v>
      </c>
      <c r="C12" s="17">
        <v>3000000</v>
      </c>
      <c r="D12" s="17"/>
      <c r="E12" s="17"/>
      <c r="F12" s="17"/>
      <c r="G12" s="18"/>
      <c r="H12" s="18"/>
      <c r="I12" s="16"/>
      <c r="J12" s="16"/>
      <c r="K12" s="33">
        <f>SUM(C12,E12,G12)</f>
        <v>3000000</v>
      </c>
      <c r="L12" s="33"/>
      <c r="M12" s="166"/>
      <c r="N12" s="18">
        <v>10000000</v>
      </c>
    </row>
    <row r="13" spans="1:14" s="13" customFormat="1" ht="15.75" hidden="1">
      <c r="A13" s="12" t="s">
        <v>47</v>
      </c>
      <c r="B13" s="20" t="s">
        <v>15</v>
      </c>
      <c r="C13" s="167">
        <f>SUM(C14:C18)</f>
        <v>3423012124</v>
      </c>
      <c r="D13" s="167"/>
      <c r="E13" s="167">
        <f>SUM(E14:E18)</f>
        <v>506477498</v>
      </c>
      <c r="F13" s="167"/>
      <c r="G13" s="167">
        <f>SUM(G14:G18)</f>
        <v>5094903744</v>
      </c>
      <c r="H13" s="167"/>
      <c r="I13" s="167">
        <f>SUM(I14:I18)</f>
        <v>0</v>
      </c>
      <c r="J13" s="167"/>
      <c r="K13" s="102">
        <f>SUM(C13:I13)</f>
        <v>9024393366</v>
      </c>
      <c r="L13" s="14">
        <f>SUM(L14:L18)</f>
        <v>0</v>
      </c>
      <c r="M13" s="166"/>
      <c r="N13" s="14">
        <f>SUM(N14:N18)</f>
        <v>8546706997</v>
      </c>
    </row>
    <row r="14" spans="1:14" s="19" customFormat="1" ht="15.75" hidden="1">
      <c r="A14" s="15" t="s">
        <v>48</v>
      </c>
      <c r="B14" s="16" t="s">
        <v>18</v>
      </c>
      <c r="C14" s="17">
        <v>1165503563</v>
      </c>
      <c r="D14" s="17"/>
      <c r="E14" s="17">
        <v>163186117</v>
      </c>
      <c r="F14" s="17"/>
      <c r="G14" s="18">
        <v>1744093977</v>
      </c>
      <c r="H14" s="18"/>
      <c r="I14" s="16"/>
      <c r="J14" s="16"/>
      <c r="K14" s="33">
        <f>SUM(C14,E14,G14)</f>
        <v>3072783657</v>
      </c>
      <c r="L14" s="33"/>
      <c r="M14" s="166"/>
      <c r="N14" s="18">
        <v>2906873906</v>
      </c>
    </row>
    <row r="15" spans="1:14" s="19" customFormat="1" ht="15.75" hidden="1">
      <c r="A15" s="15" t="s">
        <v>49</v>
      </c>
      <c r="B15" s="16" t="s">
        <v>19</v>
      </c>
      <c r="C15" s="17">
        <v>1025518002</v>
      </c>
      <c r="D15" s="17"/>
      <c r="E15" s="17">
        <v>168535907</v>
      </c>
      <c r="F15" s="17"/>
      <c r="G15" s="18">
        <v>1428691916</v>
      </c>
      <c r="H15" s="18"/>
      <c r="I15" s="16"/>
      <c r="J15" s="16"/>
      <c r="K15" s="33">
        <f>SUM(C15,E15,G15)</f>
        <v>2622745825</v>
      </c>
      <c r="L15" s="33"/>
      <c r="M15" s="166"/>
      <c r="N15" s="18">
        <v>2500967228</v>
      </c>
    </row>
    <row r="16" spans="1:14" s="19" customFormat="1" ht="15.75" hidden="1">
      <c r="A16" s="15" t="s">
        <v>50</v>
      </c>
      <c r="B16" s="16" t="s">
        <v>20</v>
      </c>
      <c r="C16" s="17">
        <v>456249264</v>
      </c>
      <c r="D16" s="17"/>
      <c r="E16" s="17">
        <v>63799874</v>
      </c>
      <c r="F16" s="17"/>
      <c r="G16" s="18">
        <v>659376836</v>
      </c>
      <c r="H16" s="18"/>
      <c r="I16" s="16"/>
      <c r="J16" s="16"/>
      <c r="K16" s="33">
        <f>SUM(C16,E16,G16)</f>
        <v>1179425974</v>
      </c>
      <c r="L16" s="33"/>
      <c r="M16" s="166"/>
      <c r="N16" s="18">
        <v>1118667295</v>
      </c>
    </row>
    <row r="17" spans="1:14" s="19" customFormat="1" ht="15.75" hidden="1">
      <c r="A17" s="15" t="s">
        <v>51</v>
      </c>
      <c r="B17" s="16" t="s">
        <v>2</v>
      </c>
      <c r="C17" s="17">
        <f>180000000+186000000</f>
        <v>366000000</v>
      </c>
      <c r="D17" s="17"/>
      <c r="E17" s="17">
        <v>48000000</v>
      </c>
      <c r="F17" s="17"/>
      <c r="G17" s="18">
        <v>536000000</v>
      </c>
      <c r="H17" s="18"/>
      <c r="I17" s="16"/>
      <c r="J17" s="16"/>
      <c r="K17" s="33">
        <f>SUM(C17,E17,G17)</f>
        <v>950000000</v>
      </c>
      <c r="L17" s="33"/>
      <c r="M17" s="166"/>
      <c r="N17" s="18">
        <v>911000000</v>
      </c>
    </row>
    <row r="18" spans="1:14" s="19" customFormat="1" ht="15.75" hidden="1">
      <c r="A18" s="15" t="s">
        <v>52</v>
      </c>
      <c r="B18" s="16" t="s">
        <v>21</v>
      </c>
      <c r="C18" s="17">
        <f>143772445+265968850</f>
        <v>409741295</v>
      </c>
      <c r="D18" s="17"/>
      <c r="E18" s="17">
        <v>62955600</v>
      </c>
      <c r="F18" s="17"/>
      <c r="G18" s="18">
        <v>726741015</v>
      </c>
      <c r="H18" s="18"/>
      <c r="I18" s="16"/>
      <c r="J18" s="16"/>
      <c r="K18" s="33">
        <f>SUM(C18,E18,G18)</f>
        <v>1199437910</v>
      </c>
      <c r="L18" s="33"/>
      <c r="M18" s="166"/>
      <c r="N18" s="18">
        <v>1109198568</v>
      </c>
    </row>
    <row r="19" spans="1:14" s="13" customFormat="1" ht="15.75" hidden="1">
      <c r="A19" s="12" t="s">
        <v>53</v>
      </c>
      <c r="B19" s="20" t="s">
        <v>83</v>
      </c>
      <c r="C19" s="167">
        <f>SUM(C20:C21)</f>
        <v>533811638</v>
      </c>
      <c r="D19" s="167"/>
      <c r="E19" s="167">
        <f>SUM(E20:E21)</f>
        <v>74645853</v>
      </c>
      <c r="F19" s="167"/>
      <c r="G19" s="167">
        <f>SUM(G20:G21)</f>
        <v>771470898</v>
      </c>
      <c r="H19" s="167"/>
      <c r="I19" s="167">
        <f>SUM(I20:I21)</f>
        <v>0</v>
      </c>
      <c r="J19" s="167"/>
      <c r="K19" s="102">
        <f>SUM(C19:I19)</f>
        <v>1379928389</v>
      </c>
      <c r="L19" s="14">
        <f>SUM(L20:L21)</f>
        <v>0</v>
      </c>
      <c r="M19" s="166"/>
      <c r="N19" s="14">
        <f>SUM(N20:N21)</f>
        <v>1309364479</v>
      </c>
    </row>
    <row r="20" spans="1:14" s="19" customFormat="1" ht="15.75" hidden="1">
      <c r="A20" s="15" t="s">
        <v>54</v>
      </c>
      <c r="B20" s="16" t="s">
        <v>22</v>
      </c>
      <c r="C20" s="17">
        <v>506436682</v>
      </c>
      <c r="D20" s="17"/>
      <c r="E20" s="17">
        <v>70817861</v>
      </c>
      <c r="F20" s="17"/>
      <c r="G20" s="18">
        <v>731908288</v>
      </c>
      <c r="H20" s="18"/>
      <c r="I20" s="16"/>
      <c r="J20" s="16"/>
      <c r="K20" s="33">
        <f>SUM(C20,E20,G20)</f>
        <v>1309162831</v>
      </c>
      <c r="L20" s="33"/>
      <c r="M20" s="166"/>
      <c r="N20" s="18">
        <v>1242217583</v>
      </c>
    </row>
    <row r="21" spans="1:14" s="19" customFormat="1" ht="15.75" hidden="1">
      <c r="A21" s="15" t="s">
        <v>55</v>
      </c>
      <c r="B21" s="16" t="s">
        <v>23</v>
      </c>
      <c r="C21" s="17">
        <v>27374956</v>
      </c>
      <c r="D21" s="17"/>
      <c r="E21" s="17">
        <v>3827992</v>
      </c>
      <c r="F21" s="17"/>
      <c r="G21" s="18">
        <v>39562610</v>
      </c>
      <c r="H21" s="18"/>
      <c r="I21" s="16"/>
      <c r="J21" s="16"/>
      <c r="K21" s="33">
        <f>SUM(C21,E21,G21)</f>
        <v>70765558</v>
      </c>
      <c r="L21" s="33"/>
      <c r="M21" s="166"/>
      <c r="N21" s="18">
        <v>67146896</v>
      </c>
    </row>
    <row r="22" spans="1:14" s="13" customFormat="1" ht="15.75" hidden="1">
      <c r="A22" s="12" t="s">
        <v>56</v>
      </c>
      <c r="B22" s="20" t="s">
        <v>24</v>
      </c>
      <c r="C22" s="167">
        <f>SUM(C23:C26)</f>
        <v>679993902</v>
      </c>
      <c r="D22" s="167"/>
      <c r="E22" s="167">
        <f>SUM(E23:E26)</f>
        <v>95087332</v>
      </c>
      <c r="F22" s="167"/>
      <c r="G22" s="167">
        <f>SUM(G23:G26)</f>
        <v>982735236</v>
      </c>
      <c r="H22" s="167"/>
      <c r="I22" s="167">
        <f>SUM(I23:I26)</f>
        <v>0</v>
      </c>
      <c r="J22" s="167"/>
      <c r="K22" s="102">
        <f>SUM(C22:I22)</f>
        <v>1757816470</v>
      </c>
      <c r="L22" s="14">
        <f>SUM(L23:L26)</f>
        <v>0</v>
      </c>
      <c r="M22" s="166"/>
      <c r="N22" s="14">
        <f>SUM(N23:N26)</f>
        <v>1704891305</v>
      </c>
    </row>
    <row r="23" spans="1:14" s="19" customFormat="1" ht="15.75" hidden="1">
      <c r="A23" s="15" t="s">
        <v>57</v>
      </c>
      <c r="B23" s="16" t="s">
        <v>25</v>
      </c>
      <c r="C23" s="17">
        <v>269369565</v>
      </c>
      <c r="D23" s="17"/>
      <c r="E23" s="17">
        <v>37667445</v>
      </c>
      <c r="F23" s="17"/>
      <c r="G23" s="18">
        <v>389296084</v>
      </c>
      <c r="H23" s="18"/>
      <c r="I23" s="16"/>
      <c r="J23" s="16"/>
      <c r="K23" s="33">
        <f>SUM(C23,E23,G23)</f>
        <v>696333094</v>
      </c>
      <c r="L23" s="33"/>
      <c r="M23" s="166"/>
      <c r="N23" s="18">
        <v>660725460</v>
      </c>
    </row>
    <row r="24" spans="1:14" s="19" customFormat="1" ht="15.75" hidden="1">
      <c r="A24" s="15" t="s">
        <v>58</v>
      </c>
      <c r="B24" s="16" t="s">
        <v>26</v>
      </c>
      <c r="C24" s="17">
        <v>82124867</v>
      </c>
      <c r="D24" s="17"/>
      <c r="E24" s="17">
        <v>11483977</v>
      </c>
      <c r="F24" s="17"/>
      <c r="G24" s="18">
        <v>118687830</v>
      </c>
      <c r="H24" s="18"/>
      <c r="I24" s="16"/>
      <c r="J24" s="16"/>
      <c r="K24" s="33">
        <f>SUM(C24,E24,G24)</f>
        <v>212296674</v>
      </c>
      <c r="L24" s="33"/>
      <c r="M24" s="166"/>
      <c r="N24" s="18">
        <v>201440689</v>
      </c>
    </row>
    <row r="25" spans="1:14" s="19" customFormat="1" ht="15.75" hidden="1">
      <c r="A25" s="15" t="s">
        <v>59</v>
      </c>
      <c r="B25" s="16" t="s">
        <v>27</v>
      </c>
      <c r="C25" s="17">
        <v>164249735</v>
      </c>
      <c r="D25" s="17"/>
      <c r="E25" s="17">
        <v>22967955</v>
      </c>
      <c r="F25" s="17"/>
      <c r="G25" s="18">
        <v>237375661</v>
      </c>
      <c r="H25" s="18"/>
      <c r="I25" s="16"/>
      <c r="J25" s="16"/>
      <c r="K25" s="33">
        <f>SUM(C25,E25,G25)</f>
        <v>424593351</v>
      </c>
      <c r="L25" s="33"/>
      <c r="M25" s="166"/>
      <c r="N25" s="18">
        <v>402881378</v>
      </c>
    </row>
    <row r="26" spans="1:14" s="19" customFormat="1" ht="15.75" hidden="1">
      <c r="A26" s="15" t="s">
        <v>168</v>
      </c>
      <c r="B26" s="16" t="s">
        <v>169</v>
      </c>
      <c r="C26" s="17">
        <v>164249735</v>
      </c>
      <c r="D26" s="17"/>
      <c r="E26" s="17">
        <v>22967955</v>
      </c>
      <c r="F26" s="17"/>
      <c r="G26" s="18">
        <v>237375661</v>
      </c>
      <c r="H26" s="18"/>
      <c r="I26" s="16"/>
      <c r="J26" s="16"/>
      <c r="K26" s="33">
        <f>SUM(C26,E26,G26)</f>
        <v>424593351</v>
      </c>
      <c r="L26" s="33"/>
      <c r="M26" s="166"/>
      <c r="N26" s="18">
        <v>439843778</v>
      </c>
    </row>
    <row r="27" spans="1:14" s="4" customFormat="1" ht="15.75" hidden="1">
      <c r="A27" s="8">
        <v>1</v>
      </c>
      <c r="B27" s="21" t="s">
        <v>28</v>
      </c>
      <c r="C27" s="10">
        <f aca="true" t="shared" si="0" ref="C27:L27">SUM(C28,C33,C39,C45,C52,C57,C61,C64,C72)</f>
        <v>1321873540</v>
      </c>
      <c r="D27" s="10"/>
      <c r="E27" s="10">
        <f t="shared" si="0"/>
        <v>19807019</v>
      </c>
      <c r="F27" s="10"/>
      <c r="G27" s="10">
        <f t="shared" si="0"/>
        <v>942617690</v>
      </c>
      <c r="H27" s="10"/>
      <c r="I27" s="10">
        <f t="shared" si="0"/>
        <v>148550000</v>
      </c>
      <c r="J27" s="10"/>
      <c r="K27" s="42">
        <f t="shared" si="0"/>
        <v>2432848249</v>
      </c>
      <c r="L27" s="11">
        <f t="shared" si="0"/>
        <v>0</v>
      </c>
      <c r="M27" s="166">
        <f aca="true" t="shared" si="1" ref="M27:M73">SUM(K27:L27)</f>
        <v>2432848249</v>
      </c>
      <c r="N27" s="11">
        <f>SUM(N28,N33,N39,N45,N52,N57,N61,N64,N72)</f>
        <v>2066932026</v>
      </c>
    </row>
    <row r="28" spans="1:14" s="13" customFormat="1" ht="15.75" hidden="1">
      <c r="A28" s="22" t="s">
        <v>148</v>
      </c>
      <c r="B28" s="20" t="s">
        <v>85</v>
      </c>
      <c r="C28" s="14">
        <f>SUM(C29:C32)</f>
        <v>96732893</v>
      </c>
      <c r="D28" s="14"/>
      <c r="E28" s="14">
        <f>SUM(E29:E32)</f>
        <v>2500000</v>
      </c>
      <c r="F28" s="14"/>
      <c r="G28" s="14">
        <f>SUM(G29:G32)</f>
        <v>118568690</v>
      </c>
      <c r="H28" s="14"/>
      <c r="I28" s="14">
        <f>SUM(I29:I32)</f>
        <v>0</v>
      </c>
      <c r="J28" s="14"/>
      <c r="K28" s="102">
        <f>SUM(C28:I28)</f>
        <v>217801583</v>
      </c>
      <c r="L28" s="14">
        <f>SUM(L29:L32)</f>
        <v>0</v>
      </c>
      <c r="M28" s="166">
        <f t="shared" si="1"/>
        <v>217801583</v>
      </c>
      <c r="N28" s="14">
        <f>SUM(N29:N32)</f>
        <v>83748680</v>
      </c>
    </row>
    <row r="29" spans="1:14" s="19" customFormat="1" ht="15.75" hidden="1">
      <c r="A29" s="23" t="s">
        <v>84</v>
      </c>
      <c r="B29" s="16" t="s">
        <v>29</v>
      </c>
      <c r="C29" s="18">
        <v>48000000</v>
      </c>
      <c r="D29" s="18"/>
      <c r="E29" s="18"/>
      <c r="F29" s="18"/>
      <c r="G29" s="18">
        <v>2200000</v>
      </c>
      <c r="H29" s="18"/>
      <c r="I29" s="16"/>
      <c r="J29" s="16"/>
      <c r="K29" s="33">
        <f>SUM(C29,E29,G29,I29)</f>
        <v>50200000</v>
      </c>
      <c r="L29" s="33"/>
      <c r="M29" s="166">
        <f t="shared" si="1"/>
        <v>50200000</v>
      </c>
      <c r="N29" s="18">
        <f>29100000+1456300</f>
        <v>30556300</v>
      </c>
    </row>
    <row r="30" spans="1:14" s="19" customFormat="1" ht="15.75" hidden="1">
      <c r="A30" s="23" t="s">
        <v>170</v>
      </c>
      <c r="B30" s="16" t="s">
        <v>171</v>
      </c>
      <c r="C30" s="18">
        <v>787620</v>
      </c>
      <c r="D30" s="18"/>
      <c r="E30" s="18"/>
      <c r="F30" s="18"/>
      <c r="G30" s="18"/>
      <c r="H30" s="18"/>
      <c r="I30" s="16"/>
      <c r="J30" s="16"/>
      <c r="K30" s="33">
        <f>SUM(C30,E30,G30,I30)</f>
        <v>787620</v>
      </c>
      <c r="L30" s="33"/>
      <c r="M30" s="166">
        <f t="shared" si="1"/>
        <v>787620</v>
      </c>
      <c r="N30" s="18">
        <v>1757327</v>
      </c>
    </row>
    <row r="31" spans="1:14" s="19" customFormat="1" ht="15.75" hidden="1">
      <c r="A31" s="23" t="s">
        <v>250</v>
      </c>
      <c r="B31" s="16" t="s">
        <v>251</v>
      </c>
      <c r="C31" s="18">
        <f>54445273+35000000-42000000</f>
        <v>47445273</v>
      </c>
      <c r="D31" s="18"/>
      <c r="E31" s="18">
        <v>2500000</v>
      </c>
      <c r="F31" s="18"/>
      <c r="G31" s="18">
        <f>59403218+56965472</f>
        <v>116368690</v>
      </c>
      <c r="H31" s="18"/>
      <c r="I31" s="16"/>
      <c r="J31" s="16"/>
      <c r="K31" s="33">
        <f>SUM(C31,E31,G31,I31)</f>
        <v>166313963</v>
      </c>
      <c r="L31" s="17"/>
      <c r="M31" s="166">
        <f t="shared" si="1"/>
        <v>166313963</v>
      </c>
      <c r="N31" s="168">
        <v>50735053</v>
      </c>
    </row>
    <row r="32" spans="1:14" s="19" customFormat="1" ht="15.75" hidden="1">
      <c r="A32" s="23" t="s">
        <v>217</v>
      </c>
      <c r="B32" s="16" t="s">
        <v>218</v>
      </c>
      <c r="C32" s="18">
        <v>500000</v>
      </c>
      <c r="D32" s="18"/>
      <c r="E32" s="18"/>
      <c r="F32" s="18"/>
      <c r="G32" s="18"/>
      <c r="H32" s="18"/>
      <c r="I32" s="16"/>
      <c r="J32" s="16"/>
      <c r="K32" s="33">
        <f>SUM(C32,E32,G32,I32)</f>
        <v>500000</v>
      </c>
      <c r="L32" s="33"/>
      <c r="M32" s="166">
        <f t="shared" si="1"/>
        <v>500000</v>
      </c>
      <c r="N32" s="18">
        <v>700000</v>
      </c>
    </row>
    <row r="33" spans="1:14" s="13" customFormat="1" ht="15.75" hidden="1">
      <c r="A33" s="22" t="s">
        <v>149</v>
      </c>
      <c r="B33" s="20" t="s">
        <v>182</v>
      </c>
      <c r="C33" s="14">
        <f>SUM(C34:C38)</f>
        <v>449184463</v>
      </c>
      <c r="D33" s="14"/>
      <c r="E33" s="14">
        <f>SUM(E34:E38)</f>
        <v>0</v>
      </c>
      <c r="F33" s="14"/>
      <c r="G33" s="14">
        <f>SUM(G34:G38)</f>
        <v>0</v>
      </c>
      <c r="H33" s="14"/>
      <c r="I33" s="14">
        <f>SUM(I34:I38)</f>
        <v>0</v>
      </c>
      <c r="J33" s="14"/>
      <c r="K33" s="102">
        <f>SUM(C33:I33)</f>
        <v>449184463</v>
      </c>
      <c r="L33" s="14">
        <f>SUM(L34:L38)</f>
        <v>0</v>
      </c>
      <c r="M33" s="166">
        <f t="shared" si="1"/>
        <v>449184463</v>
      </c>
      <c r="N33" s="14">
        <f>SUM(N34:N38)</f>
        <v>330376750</v>
      </c>
    </row>
    <row r="34" spans="1:14" s="19" customFormat="1" ht="15.75" hidden="1">
      <c r="A34" s="23" t="s">
        <v>60</v>
      </c>
      <c r="B34" s="16" t="s">
        <v>30</v>
      </c>
      <c r="C34" s="17">
        <v>141400000</v>
      </c>
      <c r="D34" s="17"/>
      <c r="E34" s="18"/>
      <c r="F34" s="18"/>
      <c r="G34" s="18"/>
      <c r="H34" s="18"/>
      <c r="I34" s="16"/>
      <c r="J34" s="16"/>
      <c r="K34" s="33">
        <f>SUM(C34,E34,G34,I34)</f>
        <v>141400000</v>
      </c>
      <c r="L34" s="33"/>
      <c r="M34" s="166">
        <f t="shared" si="1"/>
        <v>141400000</v>
      </c>
      <c r="N34" s="18">
        <v>92400000</v>
      </c>
    </row>
    <row r="35" spans="1:14" s="19" customFormat="1" ht="15.75" hidden="1">
      <c r="A35" s="23" t="s">
        <v>61</v>
      </c>
      <c r="B35" s="16" t="s">
        <v>31</v>
      </c>
      <c r="C35" s="17">
        <v>180180000</v>
      </c>
      <c r="D35" s="17"/>
      <c r="E35" s="18"/>
      <c r="F35" s="18"/>
      <c r="G35" s="18"/>
      <c r="H35" s="18"/>
      <c r="I35" s="16"/>
      <c r="J35" s="16"/>
      <c r="K35" s="33">
        <f>SUM(C35,E35,G35,I35)</f>
        <v>180180000</v>
      </c>
      <c r="L35" s="33"/>
      <c r="M35" s="166">
        <f t="shared" si="1"/>
        <v>180180000</v>
      </c>
      <c r="N35" s="18">
        <v>140000000</v>
      </c>
    </row>
    <row r="36" spans="1:14" s="19" customFormat="1" ht="15.75" hidden="1">
      <c r="A36" s="23" t="s">
        <v>62</v>
      </c>
      <c r="B36" s="16" t="s">
        <v>32</v>
      </c>
      <c r="C36" s="17">
        <v>604463</v>
      </c>
      <c r="D36" s="17"/>
      <c r="E36" s="18"/>
      <c r="F36" s="18"/>
      <c r="G36" s="18"/>
      <c r="H36" s="18"/>
      <c r="I36" s="16"/>
      <c r="J36" s="16"/>
      <c r="K36" s="33">
        <f>SUM(C36,E36,G36,I36)</f>
        <v>604463</v>
      </c>
      <c r="L36" s="33"/>
      <c r="M36" s="166">
        <f t="shared" si="1"/>
        <v>604463</v>
      </c>
      <c r="N36" s="18">
        <v>401750</v>
      </c>
    </row>
    <row r="37" spans="1:14" s="19" customFormat="1" ht="15.75" hidden="1">
      <c r="A37" s="23" t="s">
        <v>63</v>
      </c>
      <c r="B37" s="16" t="s">
        <v>33</v>
      </c>
      <c r="C37" s="17">
        <v>112000000</v>
      </c>
      <c r="D37" s="17"/>
      <c r="E37" s="18"/>
      <c r="F37" s="18"/>
      <c r="G37" s="18"/>
      <c r="H37" s="18"/>
      <c r="I37" s="16"/>
      <c r="J37" s="16"/>
      <c r="K37" s="33">
        <f>SUM(C37,E37,G37,I37)</f>
        <v>112000000</v>
      </c>
      <c r="L37" s="33"/>
      <c r="M37" s="166">
        <f t="shared" si="1"/>
        <v>112000000</v>
      </c>
      <c r="N37" s="18">
        <v>85575000</v>
      </c>
    </row>
    <row r="38" spans="1:14" s="19" customFormat="1" ht="15.75" hidden="1">
      <c r="A38" s="23" t="s">
        <v>64</v>
      </c>
      <c r="B38" s="16" t="s">
        <v>34</v>
      </c>
      <c r="C38" s="17">
        <v>15000000</v>
      </c>
      <c r="D38" s="17"/>
      <c r="E38" s="18"/>
      <c r="F38" s="18"/>
      <c r="G38" s="18"/>
      <c r="H38" s="18"/>
      <c r="I38" s="16"/>
      <c r="J38" s="16"/>
      <c r="K38" s="33">
        <f>SUM(C38,E38,G38,I38)</f>
        <v>15000000</v>
      </c>
      <c r="L38" s="33"/>
      <c r="M38" s="166">
        <f t="shared" si="1"/>
        <v>15000000</v>
      </c>
      <c r="N38" s="18">
        <v>12000000</v>
      </c>
    </row>
    <row r="39" spans="1:14" s="13" customFormat="1" ht="15.75" hidden="1">
      <c r="A39" s="22" t="s">
        <v>150</v>
      </c>
      <c r="B39" s="20" t="s">
        <v>35</v>
      </c>
      <c r="C39" s="14">
        <f>SUM(C40:C44)</f>
        <v>49521540</v>
      </c>
      <c r="D39" s="14"/>
      <c r="E39" s="14">
        <f>SUM(E40:E44)</f>
        <v>2190000</v>
      </c>
      <c r="F39" s="14"/>
      <c r="G39" s="14">
        <f>SUM(G40:G44)</f>
        <v>22492588</v>
      </c>
      <c r="H39" s="14"/>
      <c r="I39" s="14">
        <f>SUM(I40:I44)</f>
        <v>2750000</v>
      </c>
      <c r="J39" s="14"/>
      <c r="K39" s="102">
        <f>SUM(C39:I39)</f>
        <v>76954128</v>
      </c>
      <c r="L39" s="14">
        <f>SUM(L40:L44)</f>
        <v>0</v>
      </c>
      <c r="M39" s="166">
        <f t="shared" si="1"/>
        <v>76954128</v>
      </c>
      <c r="N39" s="14">
        <f>SUM(N40:N44)</f>
        <v>51691532</v>
      </c>
    </row>
    <row r="40" spans="1:19" s="13" customFormat="1" ht="15.75">
      <c r="A40" s="23" t="s">
        <v>183</v>
      </c>
      <c r="B40" s="182" t="s">
        <v>184</v>
      </c>
      <c r="C40" s="18">
        <v>6543700</v>
      </c>
      <c r="D40" s="183">
        <f>C40*4%+C40</f>
        <v>6805448</v>
      </c>
      <c r="E40" s="18">
        <v>90000</v>
      </c>
      <c r="F40" s="183">
        <f>E40*4%+E40</f>
        <v>93600</v>
      </c>
      <c r="G40" s="18">
        <v>250000</v>
      </c>
      <c r="H40" s="183">
        <f>G40*4%+G40</f>
        <v>260000</v>
      </c>
      <c r="I40" s="20"/>
      <c r="J40" s="185"/>
      <c r="K40" s="33">
        <f>SUM(C40,E40,G40,I40)</f>
        <v>6883700</v>
      </c>
      <c r="L40" s="18"/>
      <c r="M40" s="166">
        <f t="shared" si="1"/>
        <v>6883700</v>
      </c>
      <c r="N40" s="18">
        <v>8358000</v>
      </c>
      <c r="P40" s="107">
        <v>6805448</v>
      </c>
      <c r="Q40" s="108">
        <v>93600</v>
      </c>
      <c r="R40" s="193">
        <v>700000</v>
      </c>
      <c r="S40" s="20"/>
    </row>
    <row r="41" spans="1:19" s="19" customFormat="1" ht="15.75">
      <c r="A41" s="23" t="s">
        <v>65</v>
      </c>
      <c r="B41" s="182" t="s">
        <v>36</v>
      </c>
      <c r="C41" s="18">
        <v>37439424</v>
      </c>
      <c r="D41" s="183">
        <f>C41*4%+C41</f>
        <v>38937000.96</v>
      </c>
      <c r="E41" s="18"/>
      <c r="F41" s="183"/>
      <c r="G41" s="18">
        <v>9000000</v>
      </c>
      <c r="H41" s="183">
        <f>G41*4%+G41</f>
        <v>9360000</v>
      </c>
      <c r="I41" s="16"/>
      <c r="J41" s="182"/>
      <c r="K41" s="33">
        <f>SUM(C41,E41,G41,I41)</f>
        <v>46439424</v>
      </c>
      <c r="L41" s="168"/>
      <c r="M41" s="166">
        <f t="shared" si="1"/>
        <v>46439424</v>
      </c>
      <c r="N41" s="168">
        <f>34770582-2817050</f>
        <v>31953532</v>
      </c>
      <c r="P41" s="107">
        <f>25000000+8939018</f>
        <v>33939018</v>
      </c>
      <c r="Q41" s="108"/>
      <c r="R41" s="111">
        <v>3000000</v>
      </c>
      <c r="S41" s="16"/>
    </row>
    <row r="42" spans="1:19" s="19" customFormat="1" ht="15.75" hidden="1">
      <c r="A42" s="23" t="s">
        <v>66</v>
      </c>
      <c r="B42" s="16" t="s">
        <v>152</v>
      </c>
      <c r="C42" s="18">
        <v>4680156</v>
      </c>
      <c r="D42" s="18"/>
      <c r="E42" s="18">
        <v>2100000</v>
      </c>
      <c r="F42" s="18"/>
      <c r="G42" s="18">
        <v>12342588</v>
      </c>
      <c r="H42" s="18"/>
      <c r="I42" s="33">
        <v>2000000</v>
      </c>
      <c r="J42" s="186"/>
      <c r="K42" s="33">
        <f>SUM(C42,E42,G42,I42)</f>
        <v>21122744</v>
      </c>
      <c r="L42" s="69"/>
      <c r="M42" s="166">
        <f t="shared" si="1"/>
        <v>21122744</v>
      </c>
      <c r="N42" s="69">
        <v>10000000</v>
      </c>
      <c r="P42" s="16"/>
      <c r="Q42" s="16"/>
      <c r="R42" s="16"/>
      <c r="S42" s="16"/>
    </row>
    <row r="43" spans="1:19" s="19" customFormat="1" ht="15.75" hidden="1">
      <c r="A43" s="23" t="s">
        <v>161</v>
      </c>
      <c r="B43" s="16" t="s">
        <v>162</v>
      </c>
      <c r="C43" s="18">
        <v>738260</v>
      </c>
      <c r="D43" s="18"/>
      <c r="E43" s="18"/>
      <c r="F43" s="18"/>
      <c r="G43" s="18">
        <v>900000</v>
      </c>
      <c r="H43" s="18"/>
      <c r="I43" s="33">
        <v>750000</v>
      </c>
      <c r="J43" s="186"/>
      <c r="K43" s="33">
        <f>SUM(C43,E43,G43,I43)</f>
        <v>2388260</v>
      </c>
      <c r="L43" s="33"/>
      <c r="M43" s="166">
        <f t="shared" si="1"/>
        <v>2388260</v>
      </c>
      <c r="N43" s="18">
        <v>1260000</v>
      </c>
      <c r="P43" s="16"/>
      <c r="Q43" s="16"/>
      <c r="R43" s="16"/>
      <c r="S43" s="16"/>
    </row>
    <row r="44" spans="1:19" s="19" customFormat="1" ht="15.75" hidden="1">
      <c r="A44" s="23" t="s">
        <v>239</v>
      </c>
      <c r="B44" s="16" t="s">
        <v>240</v>
      </c>
      <c r="C44" s="18">
        <v>120000</v>
      </c>
      <c r="D44" s="18"/>
      <c r="E44" s="18"/>
      <c r="F44" s="18"/>
      <c r="G44" s="18"/>
      <c r="H44" s="18"/>
      <c r="I44" s="16"/>
      <c r="J44" s="182"/>
      <c r="K44" s="33">
        <f>SUM(C44,E44,G44,I44)</f>
        <v>120000</v>
      </c>
      <c r="L44" s="33"/>
      <c r="M44" s="166">
        <f t="shared" si="1"/>
        <v>120000</v>
      </c>
      <c r="N44" s="18">
        <v>120000</v>
      </c>
      <c r="P44" s="16"/>
      <c r="Q44" s="16"/>
      <c r="R44" s="16"/>
      <c r="S44" s="16"/>
    </row>
    <row r="45" spans="1:19" s="4" customFormat="1" ht="15.75" hidden="1">
      <c r="A45" s="22" t="s">
        <v>387</v>
      </c>
      <c r="B45" s="20" t="s">
        <v>163</v>
      </c>
      <c r="C45" s="14">
        <f>SUM(C47:C51)</f>
        <v>184939200</v>
      </c>
      <c r="D45" s="14"/>
      <c r="E45" s="14">
        <f>SUM(E47:E51)</f>
        <v>210000</v>
      </c>
      <c r="F45" s="14"/>
      <c r="G45" s="14">
        <f>SUM(G47:G51)</f>
        <v>185112837</v>
      </c>
      <c r="H45" s="14"/>
      <c r="I45" s="14">
        <f>SUM(I46:I51)</f>
        <v>125230000</v>
      </c>
      <c r="J45" s="187"/>
      <c r="K45" s="102">
        <f>SUM(C45:I45)</f>
        <v>495492037</v>
      </c>
      <c r="L45" s="11">
        <f>SUM(L46:L51)</f>
        <v>0</v>
      </c>
      <c r="M45" s="166">
        <f t="shared" si="1"/>
        <v>495492037</v>
      </c>
      <c r="N45" s="11">
        <f>SUM(N46:N51)</f>
        <v>483020567</v>
      </c>
      <c r="P45" s="21"/>
      <c r="Q45" s="21"/>
      <c r="R45" s="21"/>
      <c r="S45" s="21"/>
    </row>
    <row r="46" spans="1:19" s="4" customFormat="1" ht="15.75" hidden="1">
      <c r="A46" s="23" t="s">
        <v>426</v>
      </c>
      <c r="B46" s="16" t="s">
        <v>427</v>
      </c>
      <c r="C46" s="14"/>
      <c r="D46" s="14"/>
      <c r="E46" s="14"/>
      <c r="F46" s="14"/>
      <c r="G46" s="14"/>
      <c r="H46" s="14"/>
      <c r="I46" s="18">
        <v>16800000</v>
      </c>
      <c r="J46" s="183"/>
      <c r="K46" s="33">
        <f aca="true" t="shared" si="2" ref="K46:K51">SUM(C46,E46,G46,I46)</f>
        <v>16800000</v>
      </c>
      <c r="L46" s="18"/>
      <c r="M46" s="166">
        <f t="shared" si="1"/>
        <v>16800000</v>
      </c>
      <c r="N46" s="18">
        <f>17472000-672000</f>
        <v>16800000</v>
      </c>
      <c r="P46" s="21"/>
      <c r="Q46" s="21"/>
      <c r="R46" s="21"/>
      <c r="S46" s="21"/>
    </row>
    <row r="47" spans="1:19" s="4" customFormat="1" ht="15.75" hidden="1">
      <c r="A47" s="23" t="s">
        <v>219</v>
      </c>
      <c r="B47" s="16" t="s">
        <v>220</v>
      </c>
      <c r="C47" s="18">
        <v>12500000</v>
      </c>
      <c r="D47" s="18"/>
      <c r="E47" s="18"/>
      <c r="F47" s="18"/>
      <c r="G47" s="11"/>
      <c r="H47" s="11"/>
      <c r="I47" s="18">
        <v>84330000</v>
      </c>
      <c r="J47" s="183"/>
      <c r="K47" s="33">
        <f t="shared" si="2"/>
        <v>96830000</v>
      </c>
      <c r="L47" s="169"/>
      <c r="M47" s="166">
        <f t="shared" si="1"/>
        <v>96830000</v>
      </c>
      <c r="N47" s="170"/>
      <c r="P47" s="21"/>
      <c r="Q47" s="21"/>
      <c r="R47" s="21"/>
      <c r="S47" s="21"/>
    </row>
    <row r="48" spans="1:19" s="19" customFormat="1" ht="15.75" hidden="1">
      <c r="A48" s="23" t="s">
        <v>191</v>
      </c>
      <c r="B48" s="16" t="s">
        <v>192</v>
      </c>
      <c r="C48" s="18"/>
      <c r="D48" s="18"/>
      <c r="E48" s="18"/>
      <c r="F48" s="18"/>
      <c r="G48" s="16"/>
      <c r="H48" s="16"/>
      <c r="I48" s="18">
        <v>21900000</v>
      </c>
      <c r="J48" s="183"/>
      <c r="K48" s="33">
        <f t="shared" si="2"/>
        <v>21900000</v>
      </c>
      <c r="L48" s="169"/>
      <c r="M48" s="166">
        <f t="shared" si="1"/>
        <v>21900000</v>
      </c>
      <c r="N48" s="69"/>
      <c r="P48" s="16"/>
      <c r="Q48" s="16"/>
      <c r="R48" s="16"/>
      <c r="S48" s="16"/>
    </row>
    <row r="49" spans="1:19" s="19" customFormat="1" ht="15.75" hidden="1">
      <c r="A49" s="27" t="s">
        <v>193</v>
      </c>
      <c r="B49" s="45" t="s">
        <v>194</v>
      </c>
      <c r="C49" s="18">
        <v>22900000</v>
      </c>
      <c r="D49" s="18"/>
      <c r="E49" s="18"/>
      <c r="F49" s="18"/>
      <c r="G49" s="16"/>
      <c r="H49" s="16"/>
      <c r="I49" s="18"/>
      <c r="J49" s="183"/>
      <c r="K49" s="33">
        <f t="shared" si="2"/>
        <v>22900000</v>
      </c>
      <c r="L49" s="169"/>
      <c r="M49" s="166">
        <f t="shared" si="1"/>
        <v>22900000</v>
      </c>
      <c r="N49" s="69"/>
      <c r="P49" s="16"/>
      <c r="Q49" s="16"/>
      <c r="R49" s="16"/>
      <c r="S49" s="16"/>
    </row>
    <row r="50" spans="1:19" s="19" customFormat="1" ht="15.75" hidden="1">
      <c r="A50" s="23" t="s">
        <v>164</v>
      </c>
      <c r="B50" s="16" t="s">
        <v>165</v>
      </c>
      <c r="C50" s="18">
        <v>148000000</v>
      </c>
      <c r="D50" s="18"/>
      <c r="E50" s="18">
        <v>210000</v>
      </c>
      <c r="F50" s="18"/>
      <c r="G50" s="18">
        <v>177020161</v>
      </c>
      <c r="H50" s="18"/>
      <c r="I50" s="18">
        <v>1200000</v>
      </c>
      <c r="J50" s="183"/>
      <c r="K50" s="33">
        <f t="shared" si="2"/>
        <v>326430161</v>
      </c>
      <c r="L50" s="169"/>
      <c r="M50" s="166">
        <f t="shared" si="1"/>
        <v>326430161</v>
      </c>
      <c r="N50" s="69">
        <v>454424169</v>
      </c>
      <c r="P50" s="16"/>
      <c r="Q50" s="16"/>
      <c r="R50" s="16"/>
      <c r="S50" s="16"/>
    </row>
    <row r="51" spans="1:19" s="19" customFormat="1" ht="15.75" hidden="1">
      <c r="A51" s="23" t="s">
        <v>166</v>
      </c>
      <c r="B51" s="16" t="s">
        <v>167</v>
      </c>
      <c r="C51" s="18">
        <v>1539200</v>
      </c>
      <c r="D51" s="18"/>
      <c r="E51" s="18"/>
      <c r="F51" s="18"/>
      <c r="G51" s="18">
        <v>8092676</v>
      </c>
      <c r="H51" s="18"/>
      <c r="I51" s="18">
        <v>1000000</v>
      </c>
      <c r="J51" s="183"/>
      <c r="K51" s="33">
        <f t="shared" si="2"/>
        <v>10631876</v>
      </c>
      <c r="L51" s="69"/>
      <c r="M51" s="166">
        <f t="shared" si="1"/>
        <v>10631876</v>
      </c>
      <c r="N51" s="69">
        <v>11796398</v>
      </c>
      <c r="P51" s="16"/>
      <c r="Q51" s="16"/>
      <c r="R51" s="16"/>
      <c r="S51" s="16"/>
    </row>
    <row r="52" spans="1:19" s="13" customFormat="1" ht="15.75" hidden="1">
      <c r="A52" s="22" t="s">
        <v>151</v>
      </c>
      <c r="B52" s="20" t="s">
        <v>37</v>
      </c>
      <c r="C52" s="14">
        <f>SUM(C53:C56)</f>
        <v>76694584</v>
      </c>
      <c r="D52" s="14"/>
      <c r="E52" s="14">
        <f>SUM(E53:E56)</f>
        <v>8657424</v>
      </c>
      <c r="F52" s="14"/>
      <c r="G52" s="14">
        <f>SUM(G53:G56)</f>
        <v>239870000</v>
      </c>
      <c r="H52" s="14"/>
      <c r="I52" s="14">
        <f>SUM(I53:I56)</f>
        <v>7370000</v>
      </c>
      <c r="J52" s="187"/>
      <c r="K52" s="102">
        <f>SUM(C52:I52)</f>
        <v>332592008</v>
      </c>
      <c r="L52" s="14">
        <f>SUM(L53:L56)</f>
        <v>0</v>
      </c>
      <c r="M52" s="166">
        <f t="shared" si="1"/>
        <v>332592008</v>
      </c>
      <c r="N52" s="14">
        <f>SUM(N53:N56)</f>
        <v>381887685</v>
      </c>
      <c r="P52" s="20"/>
      <c r="Q52" s="20"/>
      <c r="R52" s="20"/>
      <c r="S52" s="20"/>
    </row>
    <row r="53" spans="1:19" s="19" customFormat="1" ht="15.75">
      <c r="A53" s="23" t="s">
        <v>67</v>
      </c>
      <c r="B53" s="182" t="s">
        <v>3</v>
      </c>
      <c r="C53" s="18">
        <v>704816</v>
      </c>
      <c r="D53" s="183">
        <f>C53*4%+C53</f>
        <v>733008.64</v>
      </c>
      <c r="E53" s="18">
        <v>300000</v>
      </c>
      <c r="F53" s="183">
        <f>E53*4%+E53</f>
        <v>312000</v>
      </c>
      <c r="G53" s="18">
        <v>2870000</v>
      </c>
      <c r="H53" s="183">
        <f>G53*4%+G53</f>
        <v>2984800</v>
      </c>
      <c r="I53" s="18">
        <v>500000</v>
      </c>
      <c r="J53" s="183">
        <f>I53*4%+I53</f>
        <v>520000</v>
      </c>
      <c r="K53" s="33">
        <f>SUM(C53,E53,G53,I53)</f>
        <v>4374816</v>
      </c>
      <c r="L53" s="33"/>
      <c r="M53" s="166">
        <f t="shared" si="1"/>
        <v>4374816</v>
      </c>
      <c r="N53" s="18">
        <v>7824370</v>
      </c>
      <c r="P53" s="107">
        <v>733009</v>
      </c>
      <c r="Q53" s="108">
        <v>312000</v>
      </c>
      <c r="R53" s="193">
        <f>3094765+300000</f>
        <v>3394765</v>
      </c>
      <c r="S53" s="108">
        <v>520000</v>
      </c>
    </row>
    <row r="54" spans="1:19" s="19" customFormat="1" ht="15.75">
      <c r="A54" s="23" t="s">
        <v>68</v>
      </c>
      <c r="B54" s="182" t="s">
        <v>38</v>
      </c>
      <c r="C54" s="17">
        <v>23989768</v>
      </c>
      <c r="D54" s="183">
        <f>C54*4%+C54</f>
        <v>24949358.72</v>
      </c>
      <c r="E54" s="17">
        <v>3850000</v>
      </c>
      <c r="F54" s="183">
        <f>E54*4%+E54</f>
        <v>4004000</v>
      </c>
      <c r="G54" s="17">
        <v>231000000</v>
      </c>
      <c r="H54" s="183">
        <f>G54*4%+G54</f>
        <v>240240000</v>
      </c>
      <c r="I54" s="18">
        <v>6870000</v>
      </c>
      <c r="J54" s="183">
        <f aca="true" t="shared" si="3" ref="J54:J108">I54*4%+I54</f>
        <v>7144800</v>
      </c>
      <c r="K54" s="33">
        <f>SUM(C54,E54,G54,I54)</f>
        <v>265709768</v>
      </c>
      <c r="L54" s="33"/>
      <c r="M54" s="166">
        <f t="shared" si="1"/>
        <v>265709768</v>
      </c>
      <c r="N54" s="18">
        <v>305920430</v>
      </c>
      <c r="P54" s="107">
        <v>20000000</v>
      </c>
      <c r="Q54" s="107">
        <v>3000000</v>
      </c>
      <c r="R54" s="193">
        <f>244511285+4500000</f>
        <v>249011285</v>
      </c>
      <c r="S54" s="108">
        <f>7144800-2000000</f>
        <v>5144800</v>
      </c>
    </row>
    <row r="55" spans="1:19" s="19" customFormat="1" ht="15.75">
      <c r="A55" s="23" t="s">
        <v>69</v>
      </c>
      <c r="B55" s="182" t="s">
        <v>39</v>
      </c>
      <c r="C55" s="17">
        <v>25000000</v>
      </c>
      <c r="D55" s="183">
        <f>C55*4%+C55</f>
        <v>26000000</v>
      </c>
      <c r="E55" s="17">
        <v>2446243</v>
      </c>
      <c r="F55" s="183">
        <f>E55*4%+E55</f>
        <v>2544092.72</v>
      </c>
      <c r="G55" s="17">
        <v>4000000</v>
      </c>
      <c r="H55" s="183">
        <f>G55*4%+G55</f>
        <v>4160000</v>
      </c>
      <c r="I55" s="18"/>
      <c r="J55" s="183">
        <f t="shared" si="3"/>
        <v>0</v>
      </c>
      <c r="K55" s="33">
        <f>SUM(C55,E55,G55,I55)</f>
        <v>31446243</v>
      </c>
      <c r="L55" s="33"/>
      <c r="M55" s="166">
        <f t="shared" si="1"/>
        <v>31446243</v>
      </c>
      <c r="N55" s="18">
        <v>41137814</v>
      </c>
      <c r="P55" s="107">
        <v>15000000</v>
      </c>
      <c r="Q55" s="16"/>
      <c r="R55" s="16"/>
      <c r="S55" s="16"/>
    </row>
    <row r="56" spans="1:19" s="19" customFormat="1" ht="15.75">
      <c r="A56" s="23" t="s">
        <v>70</v>
      </c>
      <c r="B56" s="182" t="s">
        <v>40</v>
      </c>
      <c r="C56" s="17">
        <v>27000000</v>
      </c>
      <c r="D56" s="183">
        <f>C56*4%+C56</f>
        <v>28080000</v>
      </c>
      <c r="E56" s="17">
        <v>2061181</v>
      </c>
      <c r="F56" s="183">
        <f>E56*4%+E56</f>
        <v>2143628.24</v>
      </c>
      <c r="G56" s="17">
        <v>2000000</v>
      </c>
      <c r="H56" s="183">
        <f>G56*4%+G56</f>
        <v>2080000</v>
      </c>
      <c r="I56" s="18"/>
      <c r="J56" s="183">
        <f t="shared" si="3"/>
        <v>0</v>
      </c>
      <c r="K56" s="33">
        <f>SUM(C56,E56,G56,I56)</f>
        <v>31061181</v>
      </c>
      <c r="L56" s="17"/>
      <c r="M56" s="166">
        <f t="shared" si="1"/>
        <v>31061181</v>
      </c>
      <c r="N56" s="168">
        <v>27005071</v>
      </c>
      <c r="P56" s="107">
        <v>10000000</v>
      </c>
      <c r="Q56" s="16"/>
      <c r="R56" s="16"/>
      <c r="S56" s="16"/>
    </row>
    <row r="57" spans="1:19" s="13" customFormat="1" ht="15.75" hidden="1">
      <c r="A57" s="22" t="s">
        <v>153</v>
      </c>
      <c r="B57" s="20" t="s">
        <v>41</v>
      </c>
      <c r="C57" s="167">
        <f>SUM(C58:C60)</f>
        <v>297772683</v>
      </c>
      <c r="D57" s="167"/>
      <c r="E57" s="167">
        <f>SUM(E58:E60)</f>
        <v>0</v>
      </c>
      <c r="F57" s="167"/>
      <c r="G57" s="167">
        <f>SUM(G58:G60)</f>
        <v>0</v>
      </c>
      <c r="H57" s="167"/>
      <c r="I57" s="14">
        <f>SUM(I58:I60)</f>
        <v>0</v>
      </c>
      <c r="J57" s="183">
        <f t="shared" si="3"/>
        <v>0</v>
      </c>
      <c r="K57" s="14">
        <f>SUM(K58:K60)</f>
        <v>297772683</v>
      </c>
      <c r="L57" s="14">
        <f>SUM(L58)</f>
        <v>0</v>
      </c>
      <c r="M57" s="166">
        <f t="shared" si="1"/>
        <v>297772683</v>
      </c>
      <c r="N57" s="14">
        <f>SUM(N58)</f>
        <v>322638071</v>
      </c>
      <c r="P57" s="20"/>
      <c r="Q57" s="20"/>
      <c r="R57" s="20"/>
      <c r="S57" s="20"/>
    </row>
    <row r="58" spans="1:19" s="13" customFormat="1" ht="15.75" hidden="1">
      <c r="A58" s="23" t="s">
        <v>178</v>
      </c>
      <c r="B58" s="16" t="s">
        <v>4</v>
      </c>
      <c r="C58" s="17">
        <f>143772683+112000000</f>
        <v>255772683</v>
      </c>
      <c r="D58" s="17"/>
      <c r="E58" s="17"/>
      <c r="F58" s="17"/>
      <c r="G58" s="167"/>
      <c r="H58" s="167"/>
      <c r="I58" s="33"/>
      <c r="J58" s="183">
        <f t="shared" si="3"/>
        <v>0</v>
      </c>
      <c r="K58" s="33">
        <f>SUM(C58,E58,G58,I58)</f>
        <v>255772683</v>
      </c>
      <c r="L58" s="33"/>
      <c r="M58" s="166">
        <f t="shared" si="1"/>
        <v>255772683</v>
      </c>
      <c r="N58" s="18">
        <v>322638071</v>
      </c>
      <c r="P58" s="20"/>
      <c r="Q58" s="20"/>
      <c r="R58" s="20"/>
      <c r="S58" s="20"/>
    </row>
    <row r="59" spans="1:19" s="13" customFormat="1" ht="15.75" hidden="1">
      <c r="A59" s="23" t="s">
        <v>276</v>
      </c>
      <c r="B59" s="16" t="s">
        <v>277</v>
      </c>
      <c r="C59" s="17">
        <v>21000000</v>
      </c>
      <c r="D59" s="17"/>
      <c r="E59" s="17"/>
      <c r="F59" s="17"/>
      <c r="G59" s="167"/>
      <c r="H59" s="167"/>
      <c r="I59" s="33"/>
      <c r="J59" s="183">
        <f t="shared" si="3"/>
        <v>0</v>
      </c>
      <c r="K59" s="33">
        <f>SUM(C59,E59,G59,I59)</f>
        <v>21000000</v>
      </c>
      <c r="L59" s="33"/>
      <c r="M59" s="166">
        <f t="shared" si="1"/>
        <v>21000000</v>
      </c>
      <c r="N59" s="18"/>
      <c r="P59" s="20"/>
      <c r="Q59" s="20"/>
      <c r="R59" s="20"/>
      <c r="S59" s="20"/>
    </row>
    <row r="60" spans="1:19" s="13" customFormat="1" ht="15.75" hidden="1">
      <c r="A60" s="23" t="s">
        <v>278</v>
      </c>
      <c r="B60" s="16" t="s">
        <v>279</v>
      </c>
      <c r="C60" s="17">
        <v>21000000</v>
      </c>
      <c r="D60" s="17"/>
      <c r="E60" s="17"/>
      <c r="F60" s="17"/>
      <c r="G60" s="167"/>
      <c r="H60" s="167"/>
      <c r="I60" s="33"/>
      <c r="J60" s="183">
        <f t="shared" si="3"/>
        <v>0</v>
      </c>
      <c r="K60" s="33">
        <f>SUM(C60,E60,G60,I60)</f>
        <v>21000000</v>
      </c>
      <c r="L60" s="33"/>
      <c r="M60" s="166"/>
      <c r="N60" s="18"/>
      <c r="P60" s="20"/>
      <c r="Q60" s="20"/>
      <c r="R60" s="20"/>
      <c r="S60" s="20"/>
    </row>
    <row r="61" spans="1:19" s="13" customFormat="1" ht="15.75" hidden="1">
      <c r="A61" s="22" t="s">
        <v>172</v>
      </c>
      <c r="B61" s="20" t="s">
        <v>173</v>
      </c>
      <c r="C61" s="167">
        <f aca="true" t="shared" si="4" ref="C61:L61">SUM(C62:C63)</f>
        <v>20566655</v>
      </c>
      <c r="D61" s="167"/>
      <c r="E61" s="167">
        <f t="shared" si="4"/>
        <v>3449595</v>
      </c>
      <c r="F61" s="167"/>
      <c r="G61" s="167">
        <f t="shared" si="4"/>
        <v>43094919</v>
      </c>
      <c r="H61" s="167"/>
      <c r="I61" s="14">
        <f t="shared" si="4"/>
        <v>2000000</v>
      </c>
      <c r="J61" s="183">
        <f t="shared" si="3"/>
        <v>2080000</v>
      </c>
      <c r="K61" s="102">
        <f t="shared" si="4"/>
        <v>69111169</v>
      </c>
      <c r="L61" s="14">
        <f t="shared" si="4"/>
        <v>0</v>
      </c>
      <c r="M61" s="166">
        <f t="shared" si="1"/>
        <v>69111169</v>
      </c>
      <c r="N61" s="14">
        <f>SUM(N62:N63)</f>
        <v>10349595</v>
      </c>
      <c r="P61" s="20"/>
      <c r="Q61" s="20"/>
      <c r="R61" s="20"/>
      <c r="S61" s="20"/>
    </row>
    <row r="62" spans="1:19" s="13" customFormat="1" ht="15.75" hidden="1">
      <c r="A62" s="23" t="s">
        <v>174</v>
      </c>
      <c r="B62" s="16" t="s">
        <v>175</v>
      </c>
      <c r="C62" s="17">
        <v>15460891</v>
      </c>
      <c r="D62" s="17"/>
      <c r="E62" s="17">
        <v>2449595</v>
      </c>
      <c r="F62" s="17"/>
      <c r="G62" s="17">
        <v>42894919</v>
      </c>
      <c r="H62" s="17"/>
      <c r="I62" s="18">
        <v>1000000</v>
      </c>
      <c r="J62" s="183">
        <f t="shared" si="3"/>
        <v>1040000</v>
      </c>
      <c r="K62" s="33">
        <f>SUM(C62,E62,G62,I62)</f>
        <v>61805405</v>
      </c>
      <c r="L62" s="33"/>
      <c r="M62" s="166">
        <f t="shared" si="1"/>
        <v>61805405</v>
      </c>
      <c r="N62" s="18">
        <v>5949595</v>
      </c>
      <c r="P62" s="20"/>
      <c r="Q62" s="20"/>
      <c r="R62" s="20"/>
      <c r="S62" s="20"/>
    </row>
    <row r="63" spans="1:19" s="19" customFormat="1" ht="15.75">
      <c r="A63" s="23" t="s">
        <v>176</v>
      </c>
      <c r="B63" s="182" t="s">
        <v>177</v>
      </c>
      <c r="C63" s="18">
        <v>5105764</v>
      </c>
      <c r="D63" s="183">
        <f>C63*4%+C63</f>
        <v>5309994.56</v>
      </c>
      <c r="E63" s="18">
        <v>1000000</v>
      </c>
      <c r="F63" s="183">
        <f>E63*4%+E63</f>
        <v>1040000</v>
      </c>
      <c r="G63" s="18">
        <v>200000</v>
      </c>
      <c r="H63" s="183">
        <f>G63*4%+G63</f>
        <v>208000</v>
      </c>
      <c r="I63" s="18">
        <v>1000000</v>
      </c>
      <c r="J63" s="183">
        <f t="shared" si="3"/>
        <v>1040000</v>
      </c>
      <c r="K63" s="33">
        <f>SUM(C63,E63,G63,I63)</f>
        <v>7305764</v>
      </c>
      <c r="L63" s="33"/>
      <c r="M63" s="166">
        <f t="shared" si="1"/>
        <v>7305764</v>
      </c>
      <c r="N63" s="18">
        <v>4400000</v>
      </c>
      <c r="P63" s="193">
        <f>3000000+3785600</f>
        <v>6785600</v>
      </c>
      <c r="Q63" s="107">
        <v>300000</v>
      </c>
      <c r="R63" s="193">
        <v>400000</v>
      </c>
      <c r="S63" s="16"/>
    </row>
    <row r="64" spans="1:19" s="13" customFormat="1" ht="15.75" hidden="1">
      <c r="A64" s="22" t="s">
        <v>154</v>
      </c>
      <c r="B64" s="20" t="s">
        <v>42</v>
      </c>
      <c r="C64" s="14">
        <f aca="true" t="shared" si="5" ref="C64:L64">SUM(C65:C71)</f>
        <v>101313522</v>
      </c>
      <c r="D64" s="14"/>
      <c r="E64" s="14">
        <f t="shared" si="5"/>
        <v>2800000</v>
      </c>
      <c r="F64" s="14"/>
      <c r="G64" s="14">
        <f t="shared" si="5"/>
        <v>333478656</v>
      </c>
      <c r="H64" s="14"/>
      <c r="I64" s="14">
        <f t="shared" si="5"/>
        <v>11200000</v>
      </c>
      <c r="J64" s="183">
        <f t="shared" si="3"/>
        <v>11648000</v>
      </c>
      <c r="K64" s="102">
        <f t="shared" si="5"/>
        <v>448792178</v>
      </c>
      <c r="L64" s="14">
        <f t="shared" si="5"/>
        <v>0</v>
      </c>
      <c r="M64" s="166">
        <f t="shared" si="1"/>
        <v>448792178</v>
      </c>
      <c r="N64" s="14">
        <f>SUM(N65:N71)</f>
        <v>361939146</v>
      </c>
      <c r="P64" s="20"/>
      <c r="Q64" s="20"/>
      <c r="R64" s="20"/>
      <c r="S64" s="20"/>
    </row>
    <row r="65" spans="1:19" s="13" customFormat="1" ht="15.75" hidden="1">
      <c r="A65" s="23" t="s">
        <v>71</v>
      </c>
      <c r="B65" s="16" t="s">
        <v>76</v>
      </c>
      <c r="C65" s="18">
        <v>44516509</v>
      </c>
      <c r="D65" s="18"/>
      <c r="E65" s="18"/>
      <c r="F65" s="18"/>
      <c r="G65" s="18">
        <v>160847853</v>
      </c>
      <c r="H65" s="18"/>
      <c r="I65" s="18">
        <v>3000000</v>
      </c>
      <c r="J65" s="183">
        <f t="shared" si="3"/>
        <v>3120000</v>
      </c>
      <c r="K65" s="33">
        <f>SUM(C65,E65,G65,I65)</f>
        <v>208364362</v>
      </c>
      <c r="L65" s="69"/>
      <c r="M65" s="166">
        <f t="shared" si="1"/>
        <v>208364362</v>
      </c>
      <c r="N65" s="69">
        <v>127058806</v>
      </c>
      <c r="P65" s="20"/>
      <c r="Q65" s="20"/>
      <c r="R65" s="20"/>
      <c r="S65" s="20"/>
    </row>
    <row r="66" spans="1:19" s="13" customFormat="1" ht="15.75" hidden="1">
      <c r="A66" s="23" t="s">
        <v>179</v>
      </c>
      <c r="B66" s="16" t="s">
        <v>254</v>
      </c>
      <c r="C66" s="18"/>
      <c r="D66" s="18"/>
      <c r="E66" s="18"/>
      <c r="F66" s="18"/>
      <c r="G66" s="18">
        <v>5660000</v>
      </c>
      <c r="H66" s="18"/>
      <c r="I66" s="18"/>
      <c r="J66" s="183">
        <f t="shared" si="3"/>
        <v>0</v>
      </c>
      <c r="K66" s="33">
        <f aca="true" t="shared" si="6" ref="K66:K71">SUM(C66,E66,G66,I66)</f>
        <v>5660000</v>
      </c>
      <c r="L66" s="33"/>
      <c r="M66" s="166">
        <f t="shared" si="1"/>
        <v>5660000</v>
      </c>
      <c r="N66" s="18">
        <v>7940000</v>
      </c>
      <c r="P66" s="20"/>
      <c r="Q66" s="20"/>
      <c r="R66" s="20"/>
      <c r="S66" s="20"/>
    </row>
    <row r="67" spans="1:19" s="19" customFormat="1" ht="15.75" hidden="1">
      <c r="A67" s="23" t="s">
        <v>72</v>
      </c>
      <c r="B67" s="16" t="s">
        <v>77</v>
      </c>
      <c r="C67" s="18">
        <v>18305865</v>
      </c>
      <c r="D67" s="18"/>
      <c r="E67" s="18">
        <v>1000000</v>
      </c>
      <c r="F67" s="18"/>
      <c r="G67" s="18">
        <v>137432817</v>
      </c>
      <c r="H67" s="18"/>
      <c r="I67" s="18">
        <v>3000000</v>
      </c>
      <c r="J67" s="183">
        <f t="shared" si="3"/>
        <v>3120000</v>
      </c>
      <c r="K67" s="33">
        <f t="shared" si="6"/>
        <v>159738682</v>
      </c>
      <c r="L67" s="33"/>
      <c r="M67" s="166">
        <f t="shared" si="1"/>
        <v>159738682</v>
      </c>
      <c r="N67" s="18">
        <v>147890910</v>
      </c>
      <c r="P67" s="16"/>
      <c r="Q67" s="16"/>
      <c r="R67" s="16"/>
      <c r="S67" s="16"/>
    </row>
    <row r="68" spans="1:19" s="19" customFormat="1" ht="15.75" hidden="1">
      <c r="A68" s="23" t="s">
        <v>73</v>
      </c>
      <c r="B68" s="16" t="s">
        <v>78</v>
      </c>
      <c r="C68" s="18">
        <v>9922267</v>
      </c>
      <c r="D68" s="18"/>
      <c r="E68" s="18">
        <v>100000</v>
      </c>
      <c r="F68" s="18"/>
      <c r="G68" s="18">
        <v>5591685</v>
      </c>
      <c r="H68" s="18"/>
      <c r="I68" s="18">
        <v>1000000</v>
      </c>
      <c r="J68" s="183">
        <f t="shared" si="3"/>
        <v>1040000</v>
      </c>
      <c r="K68" s="33">
        <f t="shared" si="6"/>
        <v>16613952</v>
      </c>
      <c r="L68" s="33"/>
      <c r="M68" s="166">
        <f t="shared" si="1"/>
        <v>16613952</v>
      </c>
      <c r="N68" s="18">
        <v>9545957</v>
      </c>
      <c r="P68" s="16"/>
      <c r="Q68" s="16"/>
      <c r="R68" s="16"/>
      <c r="S68" s="16"/>
    </row>
    <row r="69" spans="1:19" s="19" customFormat="1" ht="15.75" hidden="1">
      <c r="A69" s="23" t="s">
        <v>74</v>
      </c>
      <c r="B69" s="16" t="s">
        <v>79</v>
      </c>
      <c r="C69" s="18">
        <v>8760625</v>
      </c>
      <c r="D69" s="18"/>
      <c r="E69" s="18">
        <v>600000</v>
      </c>
      <c r="F69" s="18"/>
      <c r="G69" s="18">
        <v>7015894</v>
      </c>
      <c r="H69" s="18"/>
      <c r="I69" s="18">
        <v>3200000</v>
      </c>
      <c r="J69" s="183">
        <f t="shared" si="3"/>
        <v>3328000</v>
      </c>
      <c r="K69" s="33">
        <f t="shared" si="6"/>
        <v>19576519</v>
      </c>
      <c r="L69" s="33"/>
      <c r="M69" s="166">
        <f t="shared" si="1"/>
        <v>19576519</v>
      </c>
      <c r="N69" s="18">
        <v>17011885</v>
      </c>
      <c r="P69" s="16"/>
      <c r="Q69" s="16"/>
      <c r="R69" s="16"/>
      <c r="S69" s="16"/>
    </row>
    <row r="70" spans="1:19" s="19" customFormat="1" ht="15.75" hidden="1">
      <c r="A70" s="23" t="s">
        <v>75</v>
      </c>
      <c r="B70" s="16" t="s">
        <v>80</v>
      </c>
      <c r="C70" s="18">
        <f>20783197-5000000</f>
        <v>15783197</v>
      </c>
      <c r="D70" s="18"/>
      <c r="E70" s="18">
        <v>1100000</v>
      </c>
      <c r="F70" s="18"/>
      <c r="G70" s="18">
        <v>16468354</v>
      </c>
      <c r="H70" s="18"/>
      <c r="I70" s="18">
        <v>1000000</v>
      </c>
      <c r="J70" s="183">
        <f t="shared" si="3"/>
        <v>1040000</v>
      </c>
      <c r="K70" s="33">
        <f t="shared" si="6"/>
        <v>34351551</v>
      </c>
      <c r="L70" s="33"/>
      <c r="M70" s="166">
        <f t="shared" si="1"/>
        <v>34351551</v>
      </c>
      <c r="N70" s="18">
        <v>48174533</v>
      </c>
      <c r="P70" s="16"/>
      <c r="Q70" s="16"/>
      <c r="R70" s="16"/>
      <c r="S70" s="16"/>
    </row>
    <row r="71" spans="1:19" s="19" customFormat="1" ht="15.75" hidden="1">
      <c r="A71" s="23" t="s">
        <v>82</v>
      </c>
      <c r="B71" s="16" t="s">
        <v>81</v>
      </c>
      <c r="C71" s="18">
        <v>4025059</v>
      </c>
      <c r="D71" s="18"/>
      <c r="E71" s="18"/>
      <c r="F71" s="18"/>
      <c r="G71" s="18">
        <v>462053</v>
      </c>
      <c r="H71" s="18"/>
      <c r="I71" s="16"/>
      <c r="J71" s="183">
        <f t="shared" si="3"/>
        <v>0</v>
      </c>
      <c r="K71" s="33">
        <f t="shared" si="6"/>
        <v>4487112</v>
      </c>
      <c r="L71" s="33"/>
      <c r="M71" s="166">
        <f t="shared" si="1"/>
        <v>4487112</v>
      </c>
      <c r="N71" s="18">
        <v>4317055</v>
      </c>
      <c r="P71" s="16"/>
      <c r="Q71" s="16"/>
      <c r="R71" s="16"/>
      <c r="S71" s="16"/>
    </row>
    <row r="72" spans="1:19" s="13" customFormat="1" ht="15.75" hidden="1">
      <c r="A72" s="22" t="s">
        <v>155</v>
      </c>
      <c r="B72" s="20" t="s">
        <v>86</v>
      </c>
      <c r="C72" s="14">
        <f>SUM(C73:C75)</f>
        <v>45148000</v>
      </c>
      <c r="D72" s="14"/>
      <c r="E72" s="14">
        <f>SUM(E73:E75)</f>
        <v>0</v>
      </c>
      <c r="F72" s="14"/>
      <c r="G72" s="14">
        <f>SUM(G73:G75)</f>
        <v>0</v>
      </c>
      <c r="H72" s="14"/>
      <c r="I72" s="14">
        <f>SUM(I73:I75)</f>
        <v>0</v>
      </c>
      <c r="J72" s="183">
        <f t="shared" si="3"/>
        <v>0</v>
      </c>
      <c r="K72" s="102">
        <f>SUM(C72:I72)</f>
        <v>45148000</v>
      </c>
      <c r="L72" s="14">
        <f>SUM(L73:L75)</f>
        <v>0</v>
      </c>
      <c r="M72" s="166">
        <f t="shared" si="1"/>
        <v>45148000</v>
      </c>
      <c r="N72" s="14">
        <f>SUM(N73:N75)</f>
        <v>41280000</v>
      </c>
      <c r="P72" s="20"/>
      <c r="Q72" s="20"/>
      <c r="R72" s="20"/>
      <c r="S72" s="20"/>
    </row>
    <row r="73" spans="1:19" s="13" customFormat="1" ht="15.75" hidden="1">
      <c r="A73" s="23" t="s">
        <v>221</v>
      </c>
      <c r="B73" s="16" t="s">
        <v>222</v>
      </c>
      <c r="C73" s="18">
        <v>4160000</v>
      </c>
      <c r="D73" s="18"/>
      <c r="E73" s="18"/>
      <c r="F73" s="18"/>
      <c r="G73" s="14"/>
      <c r="H73" s="14"/>
      <c r="I73" s="20"/>
      <c r="J73" s="183">
        <f t="shared" si="3"/>
        <v>0</v>
      </c>
      <c r="K73" s="33">
        <f>SUM(C73,E73,G73,I73)</f>
        <v>4160000</v>
      </c>
      <c r="L73" s="33"/>
      <c r="M73" s="166">
        <f t="shared" si="1"/>
        <v>4160000</v>
      </c>
      <c r="N73" s="18">
        <v>4000000</v>
      </c>
      <c r="P73" s="20"/>
      <c r="Q73" s="20"/>
      <c r="R73" s="20"/>
      <c r="S73" s="20"/>
    </row>
    <row r="74" spans="1:19" s="13" customFormat="1" ht="15.75" hidden="1">
      <c r="A74" s="23" t="s">
        <v>245</v>
      </c>
      <c r="B74" s="16" t="s">
        <v>244</v>
      </c>
      <c r="C74" s="18">
        <v>7700000</v>
      </c>
      <c r="D74" s="18"/>
      <c r="E74" s="18"/>
      <c r="F74" s="18"/>
      <c r="G74" s="14"/>
      <c r="H74" s="14"/>
      <c r="I74" s="20"/>
      <c r="J74" s="183">
        <f t="shared" si="3"/>
        <v>0</v>
      </c>
      <c r="K74" s="33">
        <f>SUM(C74,E74,G74,I74)</f>
        <v>7700000</v>
      </c>
      <c r="L74" s="33"/>
      <c r="M74" s="166">
        <f aca="true" t="shared" si="7" ref="M74:M147">SUM(K74:L74)</f>
        <v>7700000</v>
      </c>
      <c r="N74" s="18">
        <v>5000000</v>
      </c>
      <c r="P74" s="20"/>
      <c r="Q74" s="20"/>
      <c r="R74" s="20"/>
      <c r="S74" s="20"/>
    </row>
    <row r="75" spans="1:19" s="13" customFormat="1" ht="15.75" hidden="1">
      <c r="A75" s="23" t="s">
        <v>223</v>
      </c>
      <c r="B75" s="16" t="s">
        <v>224</v>
      </c>
      <c r="C75" s="18">
        <v>33288000</v>
      </c>
      <c r="D75" s="18"/>
      <c r="E75" s="18"/>
      <c r="F75" s="18"/>
      <c r="G75" s="14"/>
      <c r="H75" s="14"/>
      <c r="I75" s="20"/>
      <c r="J75" s="183">
        <f t="shared" si="3"/>
        <v>0</v>
      </c>
      <c r="K75" s="33">
        <f>SUM(C75,E75,G75,I75)</f>
        <v>33288000</v>
      </c>
      <c r="L75" s="33"/>
      <c r="M75" s="166">
        <f t="shared" si="7"/>
        <v>33288000</v>
      </c>
      <c r="N75" s="18">
        <v>32280000</v>
      </c>
      <c r="P75" s="20"/>
      <c r="Q75" s="20"/>
      <c r="R75" s="20"/>
      <c r="S75" s="20"/>
    </row>
    <row r="76" spans="1:19" s="4" customFormat="1" ht="15.75" hidden="1">
      <c r="A76" s="8">
        <v>2</v>
      </c>
      <c r="B76" s="21" t="s">
        <v>5</v>
      </c>
      <c r="C76" s="10">
        <f>SUM(C77,C82,C85,C93,C96)</f>
        <v>129906781</v>
      </c>
      <c r="D76" s="10"/>
      <c r="E76" s="10">
        <f>SUM(E77,E82,E85,E93,E96)</f>
        <v>14227000</v>
      </c>
      <c r="F76" s="10"/>
      <c r="G76" s="10">
        <f>SUM(G77,G82,G85,G93,G96)</f>
        <v>390331416</v>
      </c>
      <c r="H76" s="10"/>
      <c r="I76" s="10">
        <f>SUM(I77,I82,I85,I93,I96)</f>
        <v>35563000</v>
      </c>
      <c r="J76" s="183">
        <f t="shared" si="3"/>
        <v>36985520</v>
      </c>
      <c r="K76" s="42">
        <f>SUM(C76:I76)</f>
        <v>570028197</v>
      </c>
      <c r="L76" s="11">
        <f>SUM(L77,L82,L85,L93,L96)</f>
        <v>0</v>
      </c>
      <c r="M76" s="166">
        <f t="shared" si="7"/>
        <v>570028197</v>
      </c>
      <c r="N76" s="11">
        <f>SUM(N77,N82,N85,N93,N96)</f>
        <v>479779009</v>
      </c>
      <c r="P76" s="21"/>
      <c r="Q76" s="21"/>
      <c r="R76" s="21"/>
      <c r="S76" s="21"/>
    </row>
    <row r="77" spans="1:19" s="13" customFormat="1" ht="15.75" hidden="1">
      <c r="A77" s="22" t="s">
        <v>156</v>
      </c>
      <c r="B77" s="20" t="s">
        <v>87</v>
      </c>
      <c r="C77" s="14">
        <f>SUM(C78:C81)</f>
        <v>49731865</v>
      </c>
      <c r="D77" s="14"/>
      <c r="E77" s="14">
        <f>SUM(E78:E81)</f>
        <v>10547000</v>
      </c>
      <c r="F77" s="14"/>
      <c r="G77" s="14">
        <f>SUM(G78:G81)</f>
        <v>292468945</v>
      </c>
      <c r="H77" s="14"/>
      <c r="I77" s="14">
        <f>SUM(I78:I81)</f>
        <v>12000000</v>
      </c>
      <c r="J77" s="183">
        <f t="shared" si="3"/>
        <v>12480000</v>
      </c>
      <c r="K77" s="102">
        <f>SUM(C77:I77)</f>
        <v>364747810</v>
      </c>
      <c r="L77" s="14">
        <f>SUM(L78:L81)</f>
        <v>0</v>
      </c>
      <c r="M77" s="166">
        <f t="shared" si="7"/>
        <v>364747810</v>
      </c>
      <c r="N77" s="14">
        <f>SUM(N78:N81)</f>
        <v>363567222</v>
      </c>
      <c r="P77" s="20"/>
      <c r="Q77" s="20"/>
      <c r="R77" s="20"/>
      <c r="S77" s="20"/>
    </row>
    <row r="78" spans="1:19" s="19" customFormat="1" ht="15.75" hidden="1">
      <c r="A78" s="23" t="s">
        <v>88</v>
      </c>
      <c r="B78" s="16" t="s">
        <v>89</v>
      </c>
      <c r="C78" s="18">
        <v>32699718</v>
      </c>
      <c r="D78" s="18"/>
      <c r="E78" s="18">
        <v>5397000</v>
      </c>
      <c r="F78" s="18"/>
      <c r="G78" s="18">
        <v>253251526</v>
      </c>
      <c r="H78" s="18"/>
      <c r="I78" s="18">
        <v>8000000</v>
      </c>
      <c r="J78" s="183">
        <f t="shared" si="3"/>
        <v>8320000</v>
      </c>
      <c r="K78" s="33">
        <f>SUM(C78,E78,G78,I78)</f>
        <v>299348244</v>
      </c>
      <c r="L78" s="33"/>
      <c r="M78" s="166">
        <f t="shared" si="7"/>
        <v>299348244</v>
      </c>
      <c r="N78" s="18">
        <v>312128755</v>
      </c>
      <c r="P78" s="16"/>
      <c r="Q78" s="16"/>
      <c r="R78" s="16"/>
      <c r="S78" s="16"/>
    </row>
    <row r="79" spans="1:19" s="19" customFormat="1" ht="15.75" hidden="1">
      <c r="A79" s="23" t="s">
        <v>90</v>
      </c>
      <c r="B79" s="16" t="s">
        <v>91</v>
      </c>
      <c r="C79" s="18">
        <v>3120000</v>
      </c>
      <c r="D79" s="18"/>
      <c r="E79" s="18"/>
      <c r="F79" s="18"/>
      <c r="G79" s="18">
        <v>430000</v>
      </c>
      <c r="H79" s="18"/>
      <c r="I79" s="18"/>
      <c r="J79" s="183">
        <f t="shared" si="3"/>
        <v>0</v>
      </c>
      <c r="K79" s="33">
        <f>SUM(C79,E79,G79,I79)</f>
        <v>3550000</v>
      </c>
      <c r="L79" s="33"/>
      <c r="M79" s="166">
        <f t="shared" si="7"/>
        <v>3550000</v>
      </c>
      <c r="N79" s="18">
        <v>3000000</v>
      </c>
      <c r="P79" s="16"/>
      <c r="Q79" s="16"/>
      <c r="R79" s="16"/>
      <c r="S79" s="16"/>
    </row>
    <row r="80" spans="1:19" s="19" customFormat="1" ht="15.75" hidden="1">
      <c r="A80" s="23" t="s">
        <v>92</v>
      </c>
      <c r="B80" s="16" t="s">
        <v>93</v>
      </c>
      <c r="C80" s="18">
        <v>13662147</v>
      </c>
      <c r="D80" s="18"/>
      <c r="E80" s="18">
        <v>5150000</v>
      </c>
      <c r="F80" s="18"/>
      <c r="G80" s="18">
        <v>29036428</v>
      </c>
      <c r="H80" s="18"/>
      <c r="I80" s="18">
        <v>4000000</v>
      </c>
      <c r="J80" s="183">
        <f t="shared" si="3"/>
        <v>4160000</v>
      </c>
      <c r="K80" s="33">
        <f>SUM(C80,E80,G80,I80)</f>
        <v>51848575</v>
      </c>
      <c r="L80" s="46"/>
      <c r="M80" s="166">
        <f t="shared" si="7"/>
        <v>51848575</v>
      </c>
      <c r="N80" s="18">
        <v>38442339</v>
      </c>
      <c r="P80" s="16"/>
      <c r="Q80" s="16"/>
      <c r="R80" s="16"/>
      <c r="S80" s="16"/>
    </row>
    <row r="81" spans="1:19" s="19" customFormat="1" ht="15.75" hidden="1">
      <c r="A81" s="16" t="s">
        <v>94</v>
      </c>
      <c r="B81" s="16" t="s">
        <v>6</v>
      </c>
      <c r="C81" s="18">
        <v>250000</v>
      </c>
      <c r="D81" s="18"/>
      <c r="E81" s="18"/>
      <c r="F81" s="18"/>
      <c r="G81" s="18">
        <v>9750991</v>
      </c>
      <c r="H81" s="18"/>
      <c r="I81" s="18"/>
      <c r="J81" s="183">
        <f t="shared" si="3"/>
        <v>0</v>
      </c>
      <c r="K81" s="33">
        <f>SUM(C81,E81,G81,I81)</f>
        <v>10000991</v>
      </c>
      <c r="L81" s="168"/>
      <c r="M81" s="166">
        <f t="shared" si="7"/>
        <v>10000991</v>
      </c>
      <c r="N81" s="168">
        <v>9996128</v>
      </c>
      <c r="P81" s="16"/>
      <c r="Q81" s="16"/>
      <c r="R81" s="16"/>
      <c r="S81" s="16"/>
    </row>
    <row r="82" spans="1:19" s="13" customFormat="1" ht="15.75" hidden="1">
      <c r="A82" s="32" t="s">
        <v>157</v>
      </c>
      <c r="B82" s="26" t="s">
        <v>95</v>
      </c>
      <c r="C82" s="14">
        <f>SUM(C84+C83)</f>
        <v>995200</v>
      </c>
      <c r="D82" s="14"/>
      <c r="E82" s="14">
        <f>SUM(E84+E83)</f>
        <v>450000</v>
      </c>
      <c r="F82" s="14"/>
      <c r="G82" s="14">
        <f>SUM(G84+G83)</f>
        <v>3585818</v>
      </c>
      <c r="H82" s="14"/>
      <c r="I82" s="14">
        <f>SUM(I84+I83)</f>
        <v>4508000</v>
      </c>
      <c r="J82" s="183">
        <f t="shared" si="3"/>
        <v>4688320</v>
      </c>
      <c r="K82" s="14">
        <f>SUM(K84+K83)</f>
        <v>9539018</v>
      </c>
      <c r="L82" s="14">
        <f>SUM(L84)</f>
        <v>0</v>
      </c>
      <c r="M82" s="166">
        <f t="shared" si="7"/>
        <v>9539018</v>
      </c>
      <c r="N82" s="14">
        <f>SUM(N84)</f>
        <v>2566936</v>
      </c>
      <c r="P82" s="20"/>
      <c r="Q82" s="20"/>
      <c r="R82" s="20"/>
      <c r="S82" s="20"/>
    </row>
    <row r="83" spans="1:19" s="13" customFormat="1" ht="15.75" hidden="1">
      <c r="A83" s="27" t="s">
        <v>263</v>
      </c>
      <c r="B83" s="24" t="s">
        <v>264</v>
      </c>
      <c r="C83" s="14"/>
      <c r="D83" s="14"/>
      <c r="E83" s="14"/>
      <c r="F83" s="14"/>
      <c r="G83" s="18">
        <v>250000</v>
      </c>
      <c r="H83" s="18"/>
      <c r="I83" s="171">
        <v>2508000</v>
      </c>
      <c r="J83" s="183">
        <f t="shared" si="3"/>
        <v>2608320</v>
      </c>
      <c r="K83" s="33">
        <f>SUM(C83,E83,G83,I83)</f>
        <v>2758000</v>
      </c>
      <c r="L83" s="14"/>
      <c r="M83" s="166"/>
      <c r="N83" s="14"/>
      <c r="P83" s="20"/>
      <c r="Q83" s="20"/>
      <c r="R83" s="20"/>
      <c r="S83" s="20"/>
    </row>
    <row r="84" spans="1:19" s="19" customFormat="1" ht="15.75">
      <c r="A84" s="27" t="s">
        <v>96</v>
      </c>
      <c r="B84" s="182" t="s">
        <v>97</v>
      </c>
      <c r="C84" s="18">
        <v>995200</v>
      </c>
      <c r="D84" s="183">
        <f>C84*4%+C84</f>
        <v>1035008</v>
      </c>
      <c r="E84" s="18">
        <v>450000</v>
      </c>
      <c r="F84" s="183">
        <f>E84*4%+E84</f>
        <v>468000</v>
      </c>
      <c r="G84" s="18">
        <v>3335818</v>
      </c>
      <c r="H84" s="183">
        <f>G84*4%+G84</f>
        <v>3469250.72</v>
      </c>
      <c r="I84" s="18">
        <v>2000000</v>
      </c>
      <c r="J84" s="183">
        <f t="shared" si="3"/>
        <v>2080000</v>
      </c>
      <c r="K84" s="33">
        <f>SUM(C84,E84,G84,I84)</f>
        <v>6781018</v>
      </c>
      <c r="L84" s="33"/>
      <c r="M84" s="166">
        <f t="shared" si="7"/>
        <v>6781018</v>
      </c>
      <c r="N84" s="18">
        <v>2566936</v>
      </c>
      <c r="P84" s="108">
        <v>1000000</v>
      </c>
      <c r="Q84" s="108">
        <v>468000</v>
      </c>
      <c r="R84" s="193">
        <f>4294070+500000</f>
        <v>4794070</v>
      </c>
      <c r="S84" s="193">
        <v>2780000</v>
      </c>
    </row>
    <row r="85" spans="1:19" s="13" customFormat="1" ht="15.75" hidden="1">
      <c r="A85" s="22" t="s">
        <v>158</v>
      </c>
      <c r="B85" s="20" t="s">
        <v>98</v>
      </c>
      <c r="C85" s="14">
        <f>SUM(C86:C92)</f>
        <v>34822035</v>
      </c>
      <c r="D85" s="14"/>
      <c r="E85" s="14">
        <f>SUM(E86:E92)</f>
        <v>0</v>
      </c>
      <c r="F85" s="14"/>
      <c r="G85" s="14">
        <f>SUM(G86:G92)</f>
        <v>11208634</v>
      </c>
      <c r="H85" s="14"/>
      <c r="I85" s="14">
        <f>SUM(I86:I92)</f>
        <v>0</v>
      </c>
      <c r="J85" s="183">
        <f t="shared" si="3"/>
        <v>0</v>
      </c>
      <c r="K85" s="14">
        <f>SUM(K86:K92)</f>
        <v>46030669</v>
      </c>
      <c r="L85" s="14">
        <f>SUM(L86:L91)</f>
        <v>0</v>
      </c>
      <c r="M85" s="166">
        <f t="shared" si="7"/>
        <v>46030669</v>
      </c>
      <c r="N85" s="14">
        <f>SUM(N86:N91)</f>
        <v>22593477</v>
      </c>
      <c r="P85" s="20"/>
      <c r="Q85" s="20"/>
      <c r="R85" s="194"/>
      <c r="S85" s="20"/>
    </row>
    <row r="86" spans="1:19" s="13" customFormat="1" ht="15.75" hidden="1">
      <c r="A86" s="16" t="s">
        <v>99</v>
      </c>
      <c r="B86" s="16" t="s">
        <v>100</v>
      </c>
      <c r="C86" s="18">
        <v>4575000</v>
      </c>
      <c r="D86" s="18"/>
      <c r="E86" s="18"/>
      <c r="F86" s="18"/>
      <c r="G86" s="18">
        <v>3306142</v>
      </c>
      <c r="H86" s="18"/>
      <c r="I86" s="14"/>
      <c r="J86" s="183">
        <f t="shared" si="3"/>
        <v>0</v>
      </c>
      <c r="K86" s="33">
        <f>SUM(C86,E86,G86,I86)</f>
        <v>7881142</v>
      </c>
      <c r="L86" s="33"/>
      <c r="M86" s="166">
        <f t="shared" si="7"/>
        <v>7881142</v>
      </c>
      <c r="N86" s="18">
        <v>2921176</v>
      </c>
      <c r="P86" s="20"/>
      <c r="Q86" s="20"/>
      <c r="R86" s="194"/>
      <c r="S86" s="20"/>
    </row>
    <row r="87" spans="1:19" s="19" customFormat="1" ht="15.75" hidden="1">
      <c r="A87" s="16" t="s">
        <v>101</v>
      </c>
      <c r="B87" s="16" t="s">
        <v>102</v>
      </c>
      <c r="C87" s="18">
        <v>10140000</v>
      </c>
      <c r="D87" s="18"/>
      <c r="E87" s="18"/>
      <c r="F87" s="18"/>
      <c r="G87" s="18">
        <v>3110661</v>
      </c>
      <c r="H87" s="18"/>
      <c r="I87" s="16"/>
      <c r="J87" s="183">
        <f t="shared" si="3"/>
        <v>0</v>
      </c>
      <c r="K87" s="33">
        <f aca="true" t="shared" si="8" ref="K87:K92">SUM(C87,E87,G87,I87)</f>
        <v>13250661</v>
      </c>
      <c r="L87" s="33"/>
      <c r="M87" s="166">
        <f t="shared" si="7"/>
        <v>13250661</v>
      </c>
      <c r="N87" s="18">
        <v>11718801</v>
      </c>
      <c r="P87" s="16"/>
      <c r="Q87" s="16"/>
      <c r="R87" s="195"/>
      <c r="S87" s="16"/>
    </row>
    <row r="88" spans="1:19" s="19" customFormat="1" ht="15.75" hidden="1">
      <c r="A88" s="16" t="s">
        <v>265</v>
      </c>
      <c r="B88" s="16" t="s">
        <v>266</v>
      </c>
      <c r="C88" s="18">
        <v>2210000</v>
      </c>
      <c r="D88" s="18"/>
      <c r="E88" s="18"/>
      <c r="F88" s="18"/>
      <c r="G88" s="18">
        <v>800000</v>
      </c>
      <c r="H88" s="18"/>
      <c r="I88" s="16"/>
      <c r="J88" s="183">
        <f t="shared" si="3"/>
        <v>0</v>
      </c>
      <c r="K88" s="33">
        <f t="shared" si="8"/>
        <v>3010000</v>
      </c>
      <c r="L88" s="33"/>
      <c r="M88" s="166"/>
      <c r="N88" s="18"/>
      <c r="P88" s="16"/>
      <c r="Q88" s="16"/>
      <c r="R88" s="195"/>
      <c r="S88" s="16"/>
    </row>
    <row r="89" spans="1:19" s="19" customFormat="1" ht="15.75" hidden="1">
      <c r="A89" s="16" t="s">
        <v>103</v>
      </c>
      <c r="B89" s="16" t="s">
        <v>104</v>
      </c>
      <c r="C89" s="18">
        <v>5472398</v>
      </c>
      <c r="D89" s="18"/>
      <c r="E89" s="18"/>
      <c r="F89" s="18"/>
      <c r="G89" s="18">
        <v>2850000</v>
      </c>
      <c r="H89" s="18"/>
      <c r="I89" s="33"/>
      <c r="J89" s="183">
        <f t="shared" si="3"/>
        <v>0</v>
      </c>
      <c r="K89" s="33">
        <f t="shared" si="8"/>
        <v>8322398</v>
      </c>
      <c r="L89" s="33"/>
      <c r="M89" s="166">
        <f t="shared" si="7"/>
        <v>8322398</v>
      </c>
      <c r="N89" s="18">
        <v>5933500</v>
      </c>
      <c r="P89" s="16"/>
      <c r="Q89" s="16"/>
      <c r="R89" s="195"/>
      <c r="S89" s="16"/>
    </row>
    <row r="90" spans="1:19" s="19" customFormat="1" ht="15.75" hidden="1">
      <c r="A90" s="16" t="s">
        <v>267</v>
      </c>
      <c r="B90" s="16" t="s">
        <v>268</v>
      </c>
      <c r="C90" s="18">
        <v>4210000</v>
      </c>
      <c r="D90" s="18"/>
      <c r="E90" s="18"/>
      <c r="F90" s="18"/>
      <c r="G90" s="18">
        <v>200000</v>
      </c>
      <c r="H90" s="18"/>
      <c r="I90" s="33"/>
      <c r="J90" s="183">
        <f t="shared" si="3"/>
        <v>0</v>
      </c>
      <c r="K90" s="33">
        <f t="shared" si="8"/>
        <v>4410000</v>
      </c>
      <c r="L90" s="33"/>
      <c r="M90" s="166"/>
      <c r="N90" s="18"/>
      <c r="P90" s="16"/>
      <c r="Q90" s="16"/>
      <c r="R90" s="195"/>
      <c r="S90" s="16"/>
    </row>
    <row r="91" spans="1:19" s="19" customFormat="1" ht="15.75" hidden="1">
      <c r="A91" s="16" t="s">
        <v>105</v>
      </c>
      <c r="B91" s="16" t="s">
        <v>106</v>
      </c>
      <c r="C91" s="18">
        <v>2164637</v>
      </c>
      <c r="D91" s="18"/>
      <c r="E91" s="18"/>
      <c r="F91" s="18"/>
      <c r="G91" s="18">
        <v>691831</v>
      </c>
      <c r="H91" s="18"/>
      <c r="I91" s="16"/>
      <c r="J91" s="183">
        <f t="shared" si="3"/>
        <v>0</v>
      </c>
      <c r="K91" s="33">
        <f t="shared" si="8"/>
        <v>2856468</v>
      </c>
      <c r="L91" s="33"/>
      <c r="M91" s="166">
        <f t="shared" si="7"/>
        <v>2856468</v>
      </c>
      <c r="N91" s="18">
        <v>2020000</v>
      </c>
      <c r="P91" s="16"/>
      <c r="Q91" s="16"/>
      <c r="R91" s="195"/>
      <c r="S91" s="16"/>
    </row>
    <row r="92" spans="1:19" s="19" customFormat="1" ht="15.75" hidden="1">
      <c r="A92" s="16" t="s">
        <v>269</v>
      </c>
      <c r="B92" s="16" t="s">
        <v>270</v>
      </c>
      <c r="C92" s="18">
        <v>6050000</v>
      </c>
      <c r="D92" s="18"/>
      <c r="E92" s="18"/>
      <c r="F92" s="18"/>
      <c r="G92" s="18">
        <v>250000</v>
      </c>
      <c r="H92" s="18"/>
      <c r="I92" s="16"/>
      <c r="J92" s="183">
        <f t="shared" si="3"/>
        <v>0</v>
      </c>
      <c r="K92" s="33">
        <f t="shared" si="8"/>
        <v>6300000</v>
      </c>
      <c r="L92" s="33"/>
      <c r="M92" s="166"/>
      <c r="N92" s="18"/>
      <c r="P92" s="16"/>
      <c r="Q92" s="16"/>
      <c r="R92" s="195"/>
      <c r="S92" s="16"/>
    </row>
    <row r="93" spans="1:19" s="13" customFormat="1" ht="15.75" hidden="1">
      <c r="A93" s="22" t="s">
        <v>159</v>
      </c>
      <c r="B93" s="20" t="s">
        <v>107</v>
      </c>
      <c r="C93" s="14">
        <f>SUM(C94:C95)</f>
        <v>9780000</v>
      </c>
      <c r="D93" s="14"/>
      <c r="E93" s="14">
        <f>SUM(E94:E95)</f>
        <v>1200000</v>
      </c>
      <c r="F93" s="14"/>
      <c r="G93" s="14">
        <f>SUM(G94:G95)</f>
        <v>47662143</v>
      </c>
      <c r="H93" s="14"/>
      <c r="I93" s="14">
        <f>SUM(I94:I95)</f>
        <v>15500000</v>
      </c>
      <c r="J93" s="183">
        <f t="shared" si="3"/>
        <v>16120000</v>
      </c>
      <c r="K93" s="14">
        <f>SUM(C93:I93)</f>
        <v>74142143</v>
      </c>
      <c r="L93" s="14">
        <f>SUM(L94:L95)</f>
        <v>0</v>
      </c>
      <c r="M93" s="166">
        <f t="shared" si="7"/>
        <v>74142143</v>
      </c>
      <c r="N93" s="14">
        <f>SUM(N94:N95)</f>
        <v>33063080</v>
      </c>
      <c r="P93" s="20"/>
      <c r="Q93" s="20"/>
      <c r="R93" s="194"/>
      <c r="S93" s="20"/>
    </row>
    <row r="94" spans="1:19" s="13" customFormat="1" ht="15.75" hidden="1">
      <c r="A94" s="16" t="s">
        <v>108</v>
      </c>
      <c r="B94" s="16" t="s">
        <v>109</v>
      </c>
      <c r="C94" s="18">
        <v>3050000</v>
      </c>
      <c r="D94" s="18"/>
      <c r="E94" s="14"/>
      <c r="F94" s="14"/>
      <c r="G94" s="18">
        <v>1912000</v>
      </c>
      <c r="H94" s="18"/>
      <c r="I94" s="14"/>
      <c r="J94" s="183">
        <f t="shared" si="3"/>
        <v>0</v>
      </c>
      <c r="K94" s="33">
        <f>SUM(C94,E94,G94,I94)</f>
        <v>4962000</v>
      </c>
      <c r="L94" s="33"/>
      <c r="M94" s="166">
        <f t="shared" si="7"/>
        <v>4962000</v>
      </c>
      <c r="N94" s="18">
        <v>500000</v>
      </c>
      <c r="P94" s="20"/>
      <c r="Q94" s="20"/>
      <c r="R94" s="194"/>
      <c r="S94" s="20"/>
    </row>
    <row r="95" spans="1:19" s="19" customFormat="1" ht="15.75" hidden="1">
      <c r="A95" s="16" t="s">
        <v>110</v>
      </c>
      <c r="B95" s="16" t="s">
        <v>111</v>
      </c>
      <c r="C95" s="18">
        <v>6730000</v>
      </c>
      <c r="D95" s="18"/>
      <c r="E95" s="18">
        <v>1200000</v>
      </c>
      <c r="F95" s="18"/>
      <c r="G95" s="18">
        <v>45750143</v>
      </c>
      <c r="H95" s="18"/>
      <c r="I95" s="18">
        <v>15500000</v>
      </c>
      <c r="J95" s="183">
        <f t="shared" si="3"/>
        <v>16120000</v>
      </c>
      <c r="K95" s="33">
        <f>SUM(C95,E95,G95,I95)</f>
        <v>69180143</v>
      </c>
      <c r="L95" s="33"/>
      <c r="M95" s="166">
        <f t="shared" si="7"/>
        <v>69180143</v>
      </c>
      <c r="N95" s="18">
        <v>32563080</v>
      </c>
      <c r="P95" s="16"/>
      <c r="Q95" s="16"/>
      <c r="R95" s="195"/>
      <c r="S95" s="16"/>
    </row>
    <row r="96" spans="1:19" s="13" customFormat="1" ht="15.75" hidden="1">
      <c r="A96" s="22" t="s">
        <v>160</v>
      </c>
      <c r="B96" s="20" t="s">
        <v>112</v>
      </c>
      <c r="C96" s="14">
        <f>SUM(C97:C104)</f>
        <v>34577681</v>
      </c>
      <c r="D96" s="14"/>
      <c r="E96" s="14">
        <f>SUM(E97:E104)</f>
        <v>2030000</v>
      </c>
      <c r="F96" s="14"/>
      <c r="G96" s="14">
        <f>SUM(G97:G104)</f>
        <v>35405876</v>
      </c>
      <c r="H96" s="14"/>
      <c r="I96" s="14">
        <f>SUM(I97:I104)</f>
        <v>3555000</v>
      </c>
      <c r="J96" s="183">
        <f t="shared" si="3"/>
        <v>3697200</v>
      </c>
      <c r="K96" s="102">
        <f>SUM(C96:I96)</f>
        <v>75568557</v>
      </c>
      <c r="L96" s="14">
        <f>SUM(L97:L104)</f>
        <v>0</v>
      </c>
      <c r="M96" s="166">
        <f t="shared" si="7"/>
        <v>75568557</v>
      </c>
      <c r="N96" s="14">
        <f>SUM(N97:N104)</f>
        <v>57988294</v>
      </c>
      <c r="P96" s="20"/>
      <c r="Q96" s="20"/>
      <c r="R96" s="194"/>
      <c r="S96" s="20"/>
    </row>
    <row r="97" spans="1:19" s="19" customFormat="1" ht="15.75" hidden="1">
      <c r="A97" s="16" t="s">
        <v>114</v>
      </c>
      <c r="B97" s="16" t="s">
        <v>113</v>
      </c>
      <c r="C97" s="18">
        <v>8528299</v>
      </c>
      <c r="D97" s="18"/>
      <c r="E97" s="18">
        <v>400000</v>
      </c>
      <c r="F97" s="18"/>
      <c r="G97" s="18">
        <v>9958509</v>
      </c>
      <c r="H97" s="18"/>
      <c r="I97" s="18">
        <v>2000000</v>
      </c>
      <c r="J97" s="183">
        <f t="shared" si="3"/>
        <v>2080000</v>
      </c>
      <c r="K97" s="33">
        <f>SUM(C97,E97,G97,I97)</f>
        <v>20886808</v>
      </c>
      <c r="L97" s="33"/>
      <c r="M97" s="166">
        <f t="shared" si="7"/>
        <v>20886808</v>
      </c>
      <c r="N97" s="18">
        <v>18375796</v>
      </c>
      <c r="P97" s="16"/>
      <c r="Q97" s="16"/>
      <c r="R97" s="195"/>
      <c r="S97" s="16"/>
    </row>
    <row r="98" spans="1:19" s="19" customFormat="1" ht="15.75" hidden="1">
      <c r="A98" s="16" t="s">
        <v>115</v>
      </c>
      <c r="B98" s="16" t="s">
        <v>261</v>
      </c>
      <c r="C98" s="18">
        <v>932534</v>
      </c>
      <c r="D98" s="18"/>
      <c r="E98" s="18"/>
      <c r="F98" s="18"/>
      <c r="G98" s="18"/>
      <c r="H98" s="18"/>
      <c r="I98" s="18"/>
      <c r="J98" s="183">
        <f t="shared" si="3"/>
        <v>0</v>
      </c>
      <c r="K98" s="33">
        <f aca="true" t="shared" si="9" ref="K98:K104">SUM(C98,E98,G98,I98)</f>
        <v>932534</v>
      </c>
      <c r="L98" s="33"/>
      <c r="M98" s="166">
        <f t="shared" si="7"/>
        <v>932534</v>
      </c>
      <c r="N98" s="18">
        <v>500000</v>
      </c>
      <c r="P98" s="16"/>
      <c r="Q98" s="16"/>
      <c r="R98" s="195"/>
      <c r="S98" s="16"/>
    </row>
    <row r="99" spans="1:19" s="19" customFormat="1" ht="15.75" hidden="1">
      <c r="A99" s="16" t="s">
        <v>116</v>
      </c>
      <c r="B99" s="16" t="s">
        <v>117</v>
      </c>
      <c r="C99" s="18">
        <v>10567856</v>
      </c>
      <c r="D99" s="18"/>
      <c r="E99" s="18">
        <v>1540000</v>
      </c>
      <c r="F99" s="18"/>
      <c r="G99" s="18">
        <v>15769080</v>
      </c>
      <c r="H99" s="18"/>
      <c r="I99" s="18">
        <v>575000</v>
      </c>
      <c r="J99" s="183">
        <f t="shared" si="3"/>
        <v>598000</v>
      </c>
      <c r="K99" s="33">
        <f t="shared" si="9"/>
        <v>28451936</v>
      </c>
      <c r="L99" s="33"/>
      <c r="M99" s="166">
        <f t="shared" si="7"/>
        <v>28451936</v>
      </c>
      <c r="N99" s="18">
        <v>25071524</v>
      </c>
      <c r="P99" s="16"/>
      <c r="Q99" s="16"/>
      <c r="R99" s="195"/>
      <c r="S99" s="16"/>
    </row>
    <row r="100" spans="1:19" s="19" customFormat="1" ht="15.75">
      <c r="A100" s="16" t="s">
        <v>118</v>
      </c>
      <c r="B100" s="182" t="s">
        <v>119</v>
      </c>
      <c r="C100" s="17">
        <v>5000000</v>
      </c>
      <c r="D100" s="183">
        <f>C100*4%+C100</f>
        <v>5200000</v>
      </c>
      <c r="E100" s="18"/>
      <c r="F100" s="18"/>
      <c r="G100" s="18">
        <v>754000</v>
      </c>
      <c r="H100" s="183">
        <f>G100*4%+G100</f>
        <v>784160</v>
      </c>
      <c r="I100" s="18">
        <v>350000</v>
      </c>
      <c r="J100" s="183">
        <f t="shared" si="3"/>
        <v>364000</v>
      </c>
      <c r="K100" s="33">
        <f t="shared" si="9"/>
        <v>6104000</v>
      </c>
      <c r="L100" s="33"/>
      <c r="M100" s="166">
        <f t="shared" si="7"/>
        <v>6104000</v>
      </c>
      <c r="N100" s="18">
        <v>1123182</v>
      </c>
      <c r="P100" s="107">
        <v>2500000</v>
      </c>
      <c r="Q100" s="16"/>
      <c r="R100" s="193">
        <f>2530066-1000000</f>
        <v>1530066</v>
      </c>
      <c r="S100" s="108">
        <v>364000</v>
      </c>
    </row>
    <row r="101" spans="1:19" s="19" customFormat="1" ht="15.75" hidden="1">
      <c r="A101" s="16" t="s">
        <v>120</v>
      </c>
      <c r="B101" s="16" t="s">
        <v>7</v>
      </c>
      <c r="C101" s="18">
        <v>1458992</v>
      </c>
      <c r="D101" s="18"/>
      <c r="E101" s="18">
        <v>90000</v>
      </c>
      <c r="F101" s="18"/>
      <c r="G101" s="18">
        <v>8148631</v>
      </c>
      <c r="H101" s="18"/>
      <c r="I101" s="18">
        <v>200000</v>
      </c>
      <c r="J101" s="183">
        <f t="shared" si="3"/>
        <v>208000</v>
      </c>
      <c r="K101" s="33">
        <f t="shared" si="9"/>
        <v>9897623</v>
      </c>
      <c r="L101" s="33"/>
      <c r="M101" s="166">
        <f t="shared" si="7"/>
        <v>9897623</v>
      </c>
      <c r="N101" s="18">
        <v>3714949</v>
      </c>
      <c r="P101" s="16"/>
      <c r="Q101" s="16"/>
      <c r="R101" s="16"/>
      <c r="S101" s="16"/>
    </row>
    <row r="102" spans="1:19" s="19" customFormat="1" ht="15.75" hidden="1">
      <c r="A102" s="16" t="s">
        <v>180</v>
      </c>
      <c r="B102" s="16" t="s">
        <v>181</v>
      </c>
      <c r="C102" s="18">
        <v>3000000</v>
      </c>
      <c r="D102" s="18"/>
      <c r="E102" s="18"/>
      <c r="F102" s="18"/>
      <c r="G102" s="18">
        <v>525656</v>
      </c>
      <c r="H102" s="18"/>
      <c r="I102" s="18"/>
      <c r="J102" s="183">
        <f t="shared" si="3"/>
        <v>0</v>
      </c>
      <c r="K102" s="33">
        <f t="shared" si="9"/>
        <v>3525656</v>
      </c>
      <c r="L102" s="33"/>
      <c r="M102" s="166">
        <f t="shared" si="7"/>
        <v>3525656</v>
      </c>
      <c r="N102" s="18">
        <v>7146683</v>
      </c>
      <c r="P102" s="16"/>
      <c r="Q102" s="16"/>
      <c r="R102" s="16"/>
      <c r="S102" s="16"/>
    </row>
    <row r="103" spans="1:19" s="19" customFormat="1" ht="15.75" hidden="1">
      <c r="A103" s="16" t="s">
        <v>121</v>
      </c>
      <c r="B103" s="16" t="s">
        <v>124</v>
      </c>
      <c r="C103" s="18">
        <v>2040000</v>
      </c>
      <c r="D103" s="18"/>
      <c r="E103" s="18"/>
      <c r="F103" s="18"/>
      <c r="G103" s="18">
        <v>50000</v>
      </c>
      <c r="H103" s="18"/>
      <c r="I103" s="18">
        <v>150000</v>
      </c>
      <c r="J103" s="183">
        <f t="shared" si="3"/>
        <v>156000</v>
      </c>
      <c r="K103" s="33">
        <f t="shared" si="9"/>
        <v>2240000</v>
      </c>
      <c r="L103" s="33"/>
      <c r="M103" s="166">
        <f t="shared" si="7"/>
        <v>2240000</v>
      </c>
      <c r="N103" s="18">
        <v>2000000</v>
      </c>
      <c r="P103" s="16"/>
      <c r="Q103" s="16"/>
      <c r="R103" s="16"/>
      <c r="S103" s="16"/>
    </row>
    <row r="104" spans="1:19" s="19" customFormat="1" ht="15.75" hidden="1">
      <c r="A104" s="16" t="s">
        <v>122</v>
      </c>
      <c r="B104" s="16" t="s">
        <v>123</v>
      </c>
      <c r="C104" s="18">
        <v>3050000</v>
      </c>
      <c r="D104" s="18"/>
      <c r="E104" s="18"/>
      <c r="F104" s="18"/>
      <c r="G104" s="18">
        <v>200000</v>
      </c>
      <c r="H104" s="18"/>
      <c r="I104" s="18">
        <v>280000</v>
      </c>
      <c r="J104" s="183">
        <f t="shared" si="3"/>
        <v>291200</v>
      </c>
      <c r="K104" s="33">
        <f t="shared" si="9"/>
        <v>3530000</v>
      </c>
      <c r="L104" s="33"/>
      <c r="M104" s="166">
        <f t="shared" si="7"/>
        <v>3530000</v>
      </c>
      <c r="N104" s="18">
        <v>56160</v>
      </c>
      <c r="P104" s="16"/>
      <c r="Q104" s="16"/>
      <c r="R104" s="16"/>
      <c r="S104" s="16"/>
    </row>
    <row r="105" spans="1:19" s="44" customFormat="1" ht="15.75" hidden="1">
      <c r="A105" s="8">
        <v>3</v>
      </c>
      <c r="B105" s="8" t="s">
        <v>256</v>
      </c>
      <c r="C105" s="43">
        <f>SUM(C106)</f>
        <v>15065314</v>
      </c>
      <c r="D105" s="43"/>
      <c r="E105" s="43">
        <f>SUM(E106)</f>
        <v>0</v>
      </c>
      <c r="F105" s="43"/>
      <c r="G105" s="43">
        <f>SUM(G106)</f>
        <v>0</v>
      </c>
      <c r="H105" s="43"/>
      <c r="I105" s="43">
        <f>SUM(I106)</f>
        <v>0</v>
      </c>
      <c r="J105" s="183">
        <f t="shared" si="3"/>
        <v>0</v>
      </c>
      <c r="K105" s="42">
        <f>SUM(K97:K104)</f>
        <v>75568557</v>
      </c>
      <c r="L105" s="43">
        <f>SUM(L106)</f>
        <v>0</v>
      </c>
      <c r="M105" s="166">
        <f t="shared" si="7"/>
        <v>75568557</v>
      </c>
      <c r="N105" s="43">
        <f>SUM(N106)</f>
        <v>50939505</v>
      </c>
      <c r="P105" s="8"/>
      <c r="Q105" s="8"/>
      <c r="R105" s="8"/>
      <c r="S105" s="8"/>
    </row>
    <row r="106" spans="1:19" s="19" customFormat="1" ht="15.75" hidden="1">
      <c r="A106" s="16" t="s">
        <v>257</v>
      </c>
      <c r="B106" s="16" t="s">
        <v>258</v>
      </c>
      <c r="C106" s="18">
        <v>15065314</v>
      </c>
      <c r="D106" s="18"/>
      <c r="E106" s="18"/>
      <c r="F106" s="18"/>
      <c r="G106" s="18"/>
      <c r="H106" s="18"/>
      <c r="I106" s="18"/>
      <c r="J106" s="183">
        <f t="shared" si="3"/>
        <v>0</v>
      </c>
      <c r="K106" s="33">
        <f>SUM(C106,E106,G106,I106)</f>
        <v>15065314</v>
      </c>
      <c r="L106" s="33"/>
      <c r="M106" s="166">
        <f t="shared" si="7"/>
        <v>15065314</v>
      </c>
      <c r="N106" s="18">
        <v>50939505</v>
      </c>
      <c r="P106" s="16"/>
      <c r="Q106" s="16"/>
      <c r="R106" s="16"/>
      <c r="S106" s="16"/>
    </row>
    <row r="107" spans="1:19" s="4" customFormat="1" ht="15.75" hidden="1">
      <c r="A107" s="8">
        <v>5</v>
      </c>
      <c r="B107" s="21" t="s">
        <v>125</v>
      </c>
      <c r="C107" s="11">
        <f aca="true" t="shared" si="10" ref="C107:L107">SUM(C108:C113)</f>
        <v>174326628</v>
      </c>
      <c r="D107" s="11"/>
      <c r="E107" s="11">
        <f t="shared" si="10"/>
        <v>0</v>
      </c>
      <c r="F107" s="11"/>
      <c r="G107" s="11">
        <f t="shared" si="10"/>
        <v>51148000</v>
      </c>
      <c r="H107" s="11"/>
      <c r="I107" s="11">
        <f t="shared" si="10"/>
        <v>0</v>
      </c>
      <c r="J107" s="183">
        <f t="shared" si="3"/>
        <v>0</v>
      </c>
      <c r="K107" s="11">
        <f t="shared" si="10"/>
        <v>225474628</v>
      </c>
      <c r="L107" s="11">
        <f t="shared" si="10"/>
        <v>0</v>
      </c>
      <c r="M107" s="166">
        <f t="shared" si="7"/>
        <v>225474628</v>
      </c>
      <c r="N107" s="11">
        <v>141700000</v>
      </c>
      <c r="P107" s="21"/>
      <c r="Q107" s="21"/>
      <c r="R107" s="21"/>
      <c r="S107" s="21"/>
    </row>
    <row r="108" spans="1:19" s="19" customFormat="1" ht="15.75" hidden="1">
      <c r="A108" s="23" t="s">
        <v>237</v>
      </c>
      <c r="B108" s="16" t="s">
        <v>238</v>
      </c>
      <c r="C108" s="18"/>
      <c r="D108" s="18"/>
      <c r="E108" s="18"/>
      <c r="F108" s="18"/>
      <c r="G108" s="18"/>
      <c r="H108" s="18"/>
      <c r="I108" s="18"/>
      <c r="J108" s="183">
        <f t="shared" si="3"/>
        <v>0</v>
      </c>
      <c r="K108" s="33">
        <f aca="true" t="shared" si="11" ref="K108:K113">SUM(C108,E108,G108,I108)</f>
        <v>0</v>
      </c>
      <c r="L108" s="18"/>
      <c r="M108" s="166">
        <f t="shared" si="7"/>
        <v>0</v>
      </c>
      <c r="N108" s="18">
        <v>100000000</v>
      </c>
      <c r="P108" s="16"/>
      <c r="Q108" s="16"/>
      <c r="R108" s="16"/>
      <c r="S108" s="16"/>
    </row>
    <row r="109" spans="1:19" s="19" customFormat="1" ht="15.75">
      <c r="A109" s="23" t="s">
        <v>271</v>
      </c>
      <c r="B109" s="16" t="s">
        <v>272</v>
      </c>
      <c r="C109" s="18"/>
      <c r="D109" s="18"/>
      <c r="E109" s="18"/>
      <c r="F109" s="18"/>
      <c r="G109" s="18">
        <v>12248000</v>
      </c>
      <c r="H109" s="18"/>
      <c r="I109" s="18"/>
      <c r="J109" s="183"/>
      <c r="K109" s="33">
        <f t="shared" si="11"/>
        <v>12248000</v>
      </c>
      <c r="L109" s="18"/>
      <c r="M109" s="166"/>
      <c r="N109" s="18"/>
      <c r="P109" s="16"/>
      <c r="Q109" s="16"/>
      <c r="R109" s="107">
        <v>180000000</v>
      </c>
      <c r="S109" s="16"/>
    </row>
    <row r="110" spans="1:19" s="19" customFormat="1" ht="15.75" hidden="1">
      <c r="A110" s="16" t="s">
        <v>126</v>
      </c>
      <c r="B110" s="16" t="s">
        <v>127</v>
      </c>
      <c r="C110" s="17">
        <v>9000000</v>
      </c>
      <c r="D110" s="17"/>
      <c r="E110" s="172"/>
      <c r="F110" s="172"/>
      <c r="G110" s="33">
        <v>14200000</v>
      </c>
      <c r="H110" s="33"/>
      <c r="I110" s="33"/>
      <c r="J110" s="186"/>
      <c r="K110" s="33">
        <f t="shared" si="11"/>
        <v>23200000</v>
      </c>
      <c r="L110" s="18"/>
      <c r="M110" s="166">
        <f t="shared" si="7"/>
        <v>23200000</v>
      </c>
      <c r="N110" s="18">
        <v>700000</v>
      </c>
      <c r="P110" s="16"/>
      <c r="Q110" s="16"/>
      <c r="R110" s="16"/>
      <c r="S110" s="16"/>
    </row>
    <row r="111" spans="1:19" s="19" customFormat="1" ht="15.75" hidden="1">
      <c r="A111" s="16" t="s">
        <v>128</v>
      </c>
      <c r="B111" s="16" t="s">
        <v>129</v>
      </c>
      <c r="C111" s="18">
        <f>22668629+30000000-12000000</f>
        <v>40668629</v>
      </c>
      <c r="D111" s="18"/>
      <c r="E111" s="18"/>
      <c r="F111" s="18"/>
      <c r="G111" s="33">
        <v>16000000</v>
      </c>
      <c r="H111" s="33"/>
      <c r="I111" s="33"/>
      <c r="J111" s="186"/>
      <c r="K111" s="33">
        <f t="shared" si="11"/>
        <v>56668629</v>
      </c>
      <c r="L111" s="18"/>
      <c r="M111" s="166">
        <f t="shared" si="7"/>
        <v>56668629</v>
      </c>
      <c r="N111" s="18">
        <v>40500000</v>
      </c>
      <c r="P111" s="16"/>
      <c r="Q111" s="16"/>
      <c r="R111" s="16"/>
      <c r="S111" s="16"/>
    </row>
    <row r="112" spans="1:19" s="19" customFormat="1" ht="15.75" hidden="1">
      <c r="A112" s="16" t="s">
        <v>273</v>
      </c>
      <c r="B112" s="16" t="s">
        <v>274</v>
      </c>
      <c r="E112" s="18"/>
      <c r="F112" s="18"/>
      <c r="G112" s="33"/>
      <c r="H112" s="33"/>
      <c r="I112" s="33"/>
      <c r="J112" s="186"/>
      <c r="K112" s="33">
        <f t="shared" si="11"/>
        <v>0</v>
      </c>
      <c r="L112" s="18"/>
      <c r="M112" s="166"/>
      <c r="N112" s="18"/>
      <c r="P112" s="16"/>
      <c r="Q112" s="16"/>
      <c r="R112" s="16"/>
      <c r="S112" s="16"/>
    </row>
    <row r="113" spans="1:19" s="19" customFormat="1" ht="15.75" hidden="1">
      <c r="A113" s="16" t="s">
        <v>130</v>
      </c>
      <c r="B113" s="16" t="s">
        <v>131</v>
      </c>
      <c r="C113" s="18">
        <v>124657999</v>
      </c>
      <c r="D113" s="18"/>
      <c r="E113" s="18"/>
      <c r="F113" s="181"/>
      <c r="G113" s="78">
        <v>8700000</v>
      </c>
      <c r="H113" s="78"/>
      <c r="I113" s="16"/>
      <c r="J113" s="182"/>
      <c r="K113" s="33">
        <f t="shared" si="11"/>
        <v>133357999</v>
      </c>
      <c r="L113" s="18"/>
      <c r="M113" s="166">
        <f t="shared" si="7"/>
        <v>133357999</v>
      </c>
      <c r="N113" s="18">
        <v>500000</v>
      </c>
      <c r="P113" s="16"/>
      <c r="Q113" s="16"/>
      <c r="R113" s="16"/>
      <c r="S113" s="16"/>
    </row>
    <row r="114" spans="1:19" s="13" customFormat="1" ht="15.75" hidden="1">
      <c r="A114" s="32">
        <v>5.02</v>
      </c>
      <c r="B114" s="20" t="s">
        <v>216</v>
      </c>
      <c r="C114" s="18">
        <f>SUM(C115:C117)</f>
        <v>0</v>
      </c>
      <c r="D114" s="18"/>
      <c r="E114" s="18">
        <f>SUM(E115:E117)</f>
        <v>0</v>
      </c>
      <c r="F114" s="18"/>
      <c r="G114" s="18">
        <f>SUM(G115:G117)</f>
        <v>0</v>
      </c>
      <c r="H114" s="18"/>
      <c r="I114" s="18"/>
      <c r="J114" s="183"/>
      <c r="K114" s="18">
        <f aca="true" t="shared" si="12" ref="K114:K146">SUM(C114:I114)</f>
        <v>0</v>
      </c>
      <c r="L114" s="20"/>
      <c r="M114" s="166">
        <f t="shared" si="7"/>
        <v>0</v>
      </c>
      <c r="N114" s="14"/>
      <c r="P114" s="20"/>
      <c r="Q114" s="20"/>
      <c r="R114" s="20"/>
      <c r="S114" s="20"/>
    </row>
    <row r="115" spans="1:19" s="19" customFormat="1" ht="15.75" hidden="1">
      <c r="A115" s="27" t="s">
        <v>428</v>
      </c>
      <c r="B115" s="16" t="s">
        <v>429</v>
      </c>
      <c r="C115" s="18"/>
      <c r="D115" s="18"/>
      <c r="E115" s="18"/>
      <c r="F115" s="18"/>
      <c r="G115" s="18"/>
      <c r="H115" s="18"/>
      <c r="I115" s="16"/>
      <c r="J115" s="182"/>
      <c r="K115" s="18">
        <f t="shared" si="12"/>
        <v>0</v>
      </c>
      <c r="L115" s="16"/>
      <c r="M115" s="166">
        <f t="shared" si="7"/>
        <v>0</v>
      </c>
      <c r="N115" s="18"/>
      <c r="P115" s="16"/>
      <c r="Q115" s="16"/>
      <c r="R115" s="16"/>
      <c r="S115" s="16"/>
    </row>
    <row r="116" spans="1:19" s="19" customFormat="1" ht="15.75" hidden="1">
      <c r="A116" s="27" t="s">
        <v>242</v>
      </c>
      <c r="B116" s="16" t="s">
        <v>243</v>
      </c>
      <c r="C116" s="18"/>
      <c r="D116" s="18"/>
      <c r="E116" s="18"/>
      <c r="F116" s="18"/>
      <c r="G116" s="18"/>
      <c r="H116" s="18"/>
      <c r="I116" s="16"/>
      <c r="J116" s="182"/>
      <c r="K116" s="18">
        <f t="shared" si="12"/>
        <v>0</v>
      </c>
      <c r="L116" s="16"/>
      <c r="M116" s="166">
        <f t="shared" si="7"/>
        <v>0</v>
      </c>
      <c r="N116" s="18"/>
      <c r="P116" s="16"/>
      <c r="Q116" s="16"/>
      <c r="R116" s="16"/>
      <c r="S116" s="16"/>
    </row>
    <row r="117" spans="1:19" s="19" customFormat="1" ht="15.75" hidden="1">
      <c r="A117" s="27" t="s">
        <v>430</v>
      </c>
      <c r="B117" s="16" t="s">
        <v>431</v>
      </c>
      <c r="C117" s="18" t="s">
        <v>11</v>
      </c>
      <c r="D117" s="18"/>
      <c r="E117" s="18"/>
      <c r="F117" s="18"/>
      <c r="G117" s="18"/>
      <c r="H117" s="18"/>
      <c r="I117" s="33"/>
      <c r="J117" s="186"/>
      <c r="K117" s="18">
        <f t="shared" si="12"/>
        <v>0</v>
      </c>
      <c r="L117" s="16"/>
      <c r="M117" s="166">
        <f t="shared" si="7"/>
        <v>0</v>
      </c>
      <c r="N117" s="18"/>
      <c r="P117" s="16"/>
      <c r="Q117" s="16"/>
      <c r="R117" s="16"/>
      <c r="S117" s="16"/>
    </row>
    <row r="118" spans="1:19" s="19" customFormat="1" ht="15.75" hidden="1">
      <c r="A118" s="22">
        <v>5.03</v>
      </c>
      <c r="B118" s="20" t="s">
        <v>216</v>
      </c>
      <c r="C118" s="14">
        <f>SUM(C119)</f>
        <v>0</v>
      </c>
      <c r="D118" s="14"/>
      <c r="E118" s="14">
        <f>SUM(E119)</f>
        <v>0</v>
      </c>
      <c r="F118" s="14"/>
      <c r="G118" s="14">
        <f>SUM(G119)</f>
        <v>0</v>
      </c>
      <c r="H118" s="14"/>
      <c r="I118" s="14">
        <f>SUM(I119)</f>
        <v>0</v>
      </c>
      <c r="J118" s="187"/>
      <c r="K118" s="18">
        <f t="shared" si="12"/>
        <v>0</v>
      </c>
      <c r="L118" s="16"/>
      <c r="M118" s="166">
        <f t="shared" si="7"/>
        <v>0</v>
      </c>
      <c r="N118" s="18"/>
      <c r="P118" s="16"/>
      <c r="Q118" s="16"/>
      <c r="R118" s="16"/>
      <c r="S118" s="16"/>
    </row>
    <row r="119" spans="1:19" s="19" customFormat="1" ht="15.75" hidden="1">
      <c r="A119" s="27" t="s">
        <v>432</v>
      </c>
      <c r="B119" s="24" t="s">
        <v>433</v>
      </c>
      <c r="C119" s="18" t="s">
        <v>11</v>
      </c>
      <c r="D119" s="18"/>
      <c r="E119" s="18"/>
      <c r="F119" s="18"/>
      <c r="G119" s="18"/>
      <c r="H119" s="18"/>
      <c r="I119" s="16"/>
      <c r="J119" s="182"/>
      <c r="K119" s="18">
        <f t="shared" si="12"/>
        <v>0</v>
      </c>
      <c r="L119" s="16"/>
      <c r="M119" s="166">
        <f t="shared" si="7"/>
        <v>0</v>
      </c>
      <c r="N119" s="18"/>
      <c r="P119" s="16"/>
      <c r="Q119" s="16"/>
      <c r="R119" s="16"/>
      <c r="S119" s="16"/>
    </row>
    <row r="120" spans="1:19" s="4" customFormat="1" ht="15.75" hidden="1">
      <c r="A120" s="8">
        <v>6</v>
      </c>
      <c r="B120" s="21" t="s">
        <v>12</v>
      </c>
      <c r="C120" s="11">
        <f>SUM(C121,C138,C140,C143,C145)</f>
        <v>15345259013.996109</v>
      </c>
      <c r="D120" s="11"/>
      <c r="E120" s="11">
        <f>SUM(E121,E138,E140,E143,E145)</f>
        <v>17027430</v>
      </c>
      <c r="F120" s="11"/>
      <c r="G120" s="11">
        <f>SUM(G121,G138,G140,G143,G145)</f>
        <v>83958894</v>
      </c>
      <c r="H120" s="11"/>
      <c r="I120" s="11">
        <f>SUM(I121,I138,I140,I143,I145)</f>
        <v>0</v>
      </c>
      <c r="J120" s="188"/>
      <c r="K120" s="42">
        <f t="shared" si="12"/>
        <v>15446245337.996109</v>
      </c>
      <c r="L120" s="11">
        <f>SUM(L121,L138,L140,L143,L145,)</f>
        <v>826960450</v>
      </c>
      <c r="M120" s="166">
        <f t="shared" si="7"/>
        <v>16273205787.996109</v>
      </c>
      <c r="N120" s="11">
        <f>SUM(N121,N138,N140,N143,N145,)</f>
        <v>14853805500</v>
      </c>
      <c r="P120" s="21"/>
      <c r="Q120" s="21"/>
      <c r="R120" s="21"/>
      <c r="S120" s="21"/>
    </row>
    <row r="121" spans="1:19" s="13" customFormat="1" ht="15.75" hidden="1">
      <c r="A121" s="22" t="s">
        <v>147</v>
      </c>
      <c r="B121" s="20" t="s">
        <v>133</v>
      </c>
      <c r="C121" s="14">
        <f>SUM(C122,C128)</f>
        <v>14763843735</v>
      </c>
      <c r="D121" s="14"/>
      <c r="E121" s="14">
        <f>SUM(E122,E128)</f>
        <v>5052950</v>
      </c>
      <c r="F121" s="14"/>
      <c r="G121" s="14">
        <f>SUM(G122,G128)</f>
        <v>52222645</v>
      </c>
      <c r="H121" s="14"/>
      <c r="I121" s="14">
        <f>SUM(I122,I128)</f>
        <v>0</v>
      </c>
      <c r="J121" s="187"/>
      <c r="K121" s="102">
        <f t="shared" si="12"/>
        <v>14821119330</v>
      </c>
      <c r="L121" s="14">
        <f>SUM(L122,L128)</f>
        <v>826960450</v>
      </c>
      <c r="M121" s="166">
        <f t="shared" si="7"/>
        <v>15648079780</v>
      </c>
      <c r="N121" s="14">
        <f>SUM(N122,N128)</f>
        <v>14252431489</v>
      </c>
      <c r="P121" s="20"/>
      <c r="Q121" s="20"/>
      <c r="R121" s="20"/>
      <c r="S121" s="20"/>
    </row>
    <row r="122" spans="1:19" s="31" customFormat="1" ht="15.75" hidden="1">
      <c r="A122" s="28" t="s">
        <v>195</v>
      </c>
      <c r="B122" s="28" t="s">
        <v>196</v>
      </c>
      <c r="C122" s="29">
        <f>SUM(C123:C127)</f>
        <v>8987050333</v>
      </c>
      <c r="D122" s="29"/>
      <c r="E122" s="29">
        <f>SUM(E123:E127)</f>
        <v>0</v>
      </c>
      <c r="F122" s="29"/>
      <c r="G122" s="29">
        <f>SUM(G123:G127)</f>
        <v>0</v>
      </c>
      <c r="H122" s="29"/>
      <c r="I122" s="29">
        <f>SUM(I123:I127)</f>
        <v>0</v>
      </c>
      <c r="J122" s="189"/>
      <c r="K122" s="29">
        <f t="shared" si="12"/>
        <v>8987050333</v>
      </c>
      <c r="L122" s="35">
        <f>SUM(L123:L127)</f>
        <v>0</v>
      </c>
      <c r="M122" s="166">
        <f t="shared" si="7"/>
        <v>8987050333</v>
      </c>
      <c r="N122" s="35">
        <f>SUM(N123:N127)</f>
        <v>8847446864</v>
      </c>
      <c r="P122" s="184"/>
      <c r="Q122" s="184"/>
      <c r="R122" s="184"/>
      <c r="S122" s="184"/>
    </row>
    <row r="123" spans="1:19" s="25" customFormat="1" ht="15.75" hidden="1">
      <c r="A123" s="24" t="s">
        <v>225</v>
      </c>
      <c r="B123" s="24" t="s">
        <v>226</v>
      </c>
      <c r="C123" s="18">
        <v>300000000</v>
      </c>
      <c r="D123" s="18"/>
      <c r="E123" s="18"/>
      <c r="F123" s="18"/>
      <c r="G123" s="167"/>
      <c r="H123" s="167"/>
      <c r="I123" s="26"/>
      <c r="J123" s="185"/>
      <c r="K123" s="33">
        <f t="shared" si="12"/>
        <v>300000000</v>
      </c>
      <c r="L123" s="17"/>
      <c r="M123" s="166">
        <f t="shared" si="7"/>
        <v>300000000</v>
      </c>
      <c r="N123" s="17">
        <v>500000000</v>
      </c>
      <c r="P123" s="26"/>
      <c r="Q123" s="26"/>
      <c r="R123" s="26"/>
      <c r="S123" s="26"/>
    </row>
    <row r="124" spans="1:19" s="25" customFormat="1" ht="15.75" hidden="1">
      <c r="A124" s="24" t="s">
        <v>227</v>
      </c>
      <c r="B124" s="24" t="s">
        <v>229</v>
      </c>
      <c r="C124" s="17">
        <v>1100000000</v>
      </c>
      <c r="D124" s="17"/>
      <c r="E124" s="17"/>
      <c r="F124" s="17"/>
      <c r="G124" s="167"/>
      <c r="H124" s="167"/>
      <c r="I124" s="26"/>
      <c r="J124" s="185"/>
      <c r="K124" s="33">
        <f t="shared" si="12"/>
        <v>1100000000</v>
      </c>
      <c r="L124" s="17"/>
      <c r="M124" s="166">
        <f t="shared" si="7"/>
        <v>1100000000</v>
      </c>
      <c r="N124" s="17">
        <v>1466813363</v>
      </c>
      <c r="P124" s="26"/>
      <c r="Q124" s="26"/>
      <c r="R124" s="26"/>
      <c r="S124" s="26"/>
    </row>
    <row r="125" spans="1:19" s="36" customFormat="1" ht="15.75" hidden="1">
      <c r="A125" s="24" t="s">
        <v>228</v>
      </c>
      <c r="B125" s="24" t="s">
        <v>230</v>
      </c>
      <c r="C125" s="17">
        <v>7462650333</v>
      </c>
      <c r="D125" s="17"/>
      <c r="E125" s="17"/>
      <c r="F125" s="17"/>
      <c r="G125" s="10"/>
      <c r="H125" s="10"/>
      <c r="I125" s="40"/>
      <c r="J125" s="190"/>
      <c r="K125" s="33">
        <f t="shared" si="12"/>
        <v>7462650333</v>
      </c>
      <c r="L125" s="17"/>
      <c r="M125" s="166">
        <f t="shared" si="7"/>
        <v>7462650333</v>
      </c>
      <c r="N125" s="17">
        <v>6770633501</v>
      </c>
      <c r="P125" s="40"/>
      <c r="Q125" s="40"/>
      <c r="R125" s="40"/>
      <c r="S125" s="40"/>
    </row>
    <row r="126" spans="1:19" s="36" customFormat="1" ht="15.75" hidden="1">
      <c r="A126" s="27" t="s">
        <v>234</v>
      </c>
      <c r="B126" s="24" t="s">
        <v>235</v>
      </c>
      <c r="C126" s="17">
        <f>70000000*4%+70000000</f>
        <v>72800000</v>
      </c>
      <c r="D126" s="17"/>
      <c r="E126" s="17"/>
      <c r="F126" s="17"/>
      <c r="G126" s="10"/>
      <c r="H126" s="10"/>
      <c r="I126" s="40"/>
      <c r="J126" s="190"/>
      <c r="K126" s="33">
        <f t="shared" si="12"/>
        <v>72800000</v>
      </c>
      <c r="L126" s="17"/>
      <c r="M126" s="166">
        <f t="shared" si="7"/>
        <v>72800000</v>
      </c>
      <c r="N126" s="17">
        <v>70000000</v>
      </c>
      <c r="P126" s="40"/>
      <c r="Q126" s="40"/>
      <c r="R126" s="40"/>
      <c r="S126" s="40"/>
    </row>
    <row r="127" spans="1:19" s="36" customFormat="1" ht="15.75" hidden="1">
      <c r="A127" s="16" t="s">
        <v>247</v>
      </c>
      <c r="B127" s="16" t="s">
        <v>275</v>
      </c>
      <c r="C127" s="17">
        <f>40000000*4%+40000000+10000000</f>
        <v>51600000</v>
      </c>
      <c r="D127" s="17"/>
      <c r="E127" s="18"/>
      <c r="F127" s="18"/>
      <c r="G127" s="10"/>
      <c r="H127" s="10"/>
      <c r="I127" s="40"/>
      <c r="J127" s="190"/>
      <c r="K127" s="33">
        <f t="shared" si="12"/>
        <v>51600000</v>
      </c>
      <c r="L127" s="17"/>
      <c r="M127" s="166">
        <f t="shared" si="7"/>
        <v>51600000</v>
      </c>
      <c r="N127" s="17">
        <v>40000000</v>
      </c>
      <c r="P127" s="40"/>
      <c r="Q127" s="40"/>
      <c r="R127" s="40"/>
      <c r="S127" s="40"/>
    </row>
    <row r="128" spans="1:19" s="30" customFormat="1" ht="15.75" hidden="1">
      <c r="A128" s="28" t="s">
        <v>132</v>
      </c>
      <c r="B128" s="28" t="s">
        <v>134</v>
      </c>
      <c r="C128" s="29">
        <f>SUM(C129:C135)</f>
        <v>5776793402</v>
      </c>
      <c r="D128" s="29"/>
      <c r="E128" s="29">
        <f>SUM(E129:E135)</f>
        <v>5052950</v>
      </c>
      <c r="F128" s="29"/>
      <c r="G128" s="29">
        <f>SUM(G129:G135)</f>
        <v>52222645</v>
      </c>
      <c r="H128" s="29"/>
      <c r="I128" s="29">
        <f>SUM(I129:I135)</f>
        <v>0</v>
      </c>
      <c r="J128" s="189"/>
      <c r="K128" s="29">
        <f>SUM(C128:I128)</f>
        <v>5834068997</v>
      </c>
      <c r="L128" s="29">
        <f>SUM(L129:L135)</f>
        <v>826960450</v>
      </c>
      <c r="M128" s="166">
        <f t="shared" si="7"/>
        <v>6661029447</v>
      </c>
      <c r="N128" s="29">
        <f>SUM(N129:N135)</f>
        <v>5404984625</v>
      </c>
      <c r="P128" s="28"/>
      <c r="Q128" s="28"/>
      <c r="R128" s="28"/>
      <c r="S128" s="28"/>
    </row>
    <row r="129" spans="1:19" ht="15.75" hidden="1">
      <c r="A129" s="16" t="s">
        <v>231</v>
      </c>
      <c r="B129" s="16" t="s">
        <v>210</v>
      </c>
      <c r="C129" s="18">
        <v>22447464</v>
      </c>
      <c r="D129" s="18"/>
      <c r="E129" s="18">
        <v>3138954</v>
      </c>
      <c r="F129" s="18"/>
      <c r="G129" s="18">
        <v>32441340</v>
      </c>
      <c r="H129" s="18"/>
      <c r="I129" s="41"/>
      <c r="J129" s="191"/>
      <c r="K129" s="33">
        <f t="shared" si="12"/>
        <v>58027758</v>
      </c>
      <c r="L129" s="17"/>
      <c r="M129" s="166">
        <f t="shared" si="7"/>
        <v>58027758</v>
      </c>
      <c r="N129" s="18">
        <v>55060455</v>
      </c>
      <c r="P129" s="41"/>
      <c r="Q129" s="41"/>
      <c r="R129" s="41"/>
      <c r="S129" s="41"/>
    </row>
    <row r="130" spans="1:19" ht="15.75" hidden="1">
      <c r="A130" s="16" t="s">
        <v>232</v>
      </c>
      <c r="B130" s="16" t="s">
        <v>211</v>
      </c>
      <c r="C130" s="18">
        <v>13687478</v>
      </c>
      <c r="D130" s="18"/>
      <c r="E130" s="18">
        <v>1913996</v>
      </c>
      <c r="F130" s="18"/>
      <c r="G130" s="18">
        <v>19781305</v>
      </c>
      <c r="H130" s="18"/>
      <c r="I130" s="41"/>
      <c r="J130" s="191"/>
      <c r="K130" s="33">
        <f t="shared" si="12"/>
        <v>35382779</v>
      </c>
      <c r="L130" s="17"/>
      <c r="M130" s="166">
        <f t="shared" si="7"/>
        <v>35382779</v>
      </c>
      <c r="N130" s="18">
        <v>33573448</v>
      </c>
      <c r="P130" s="41"/>
      <c r="Q130" s="41"/>
      <c r="R130" s="41"/>
      <c r="S130" s="41"/>
    </row>
    <row r="131" spans="1:19" ht="15.75" hidden="1">
      <c r="A131" s="16" t="s">
        <v>434</v>
      </c>
      <c r="B131" s="16" t="s">
        <v>435</v>
      </c>
      <c r="C131" s="18"/>
      <c r="D131" s="18"/>
      <c r="E131" s="18"/>
      <c r="F131" s="18"/>
      <c r="G131" s="18"/>
      <c r="H131" s="18"/>
      <c r="I131" s="41"/>
      <c r="J131" s="191"/>
      <c r="K131" s="33">
        <f t="shared" si="12"/>
        <v>0</v>
      </c>
      <c r="L131" s="173"/>
      <c r="M131" s="166">
        <f t="shared" si="7"/>
        <v>0</v>
      </c>
      <c r="N131" s="18"/>
      <c r="P131" s="41"/>
      <c r="Q131" s="41"/>
      <c r="R131" s="41"/>
      <c r="S131" s="41"/>
    </row>
    <row r="132" spans="1:19" ht="15.75" hidden="1">
      <c r="A132" s="16" t="s">
        <v>436</v>
      </c>
      <c r="B132" s="16" t="s">
        <v>262</v>
      </c>
      <c r="C132" s="18"/>
      <c r="D132" s="18"/>
      <c r="E132" s="18"/>
      <c r="F132" s="18"/>
      <c r="G132" s="18"/>
      <c r="H132" s="18"/>
      <c r="I132" s="41"/>
      <c r="J132" s="191"/>
      <c r="K132" s="33">
        <f t="shared" si="12"/>
        <v>0</v>
      </c>
      <c r="L132" s="173"/>
      <c r="M132" s="166"/>
      <c r="N132" s="18"/>
      <c r="P132" s="41"/>
      <c r="Q132" s="41"/>
      <c r="R132" s="41"/>
      <c r="S132" s="41"/>
    </row>
    <row r="133" spans="1:19" ht="15.75" hidden="1">
      <c r="A133" s="16" t="s">
        <v>253</v>
      </c>
      <c r="B133" s="16" t="s">
        <v>435</v>
      </c>
      <c r="C133" s="18">
        <v>6700000</v>
      </c>
      <c r="D133" s="18"/>
      <c r="E133" s="18"/>
      <c r="F133" s="18"/>
      <c r="G133" s="18"/>
      <c r="H133" s="18"/>
      <c r="I133" s="41"/>
      <c r="J133" s="191"/>
      <c r="K133" s="33">
        <f t="shared" si="12"/>
        <v>6700000</v>
      </c>
      <c r="L133" s="173"/>
      <c r="M133" s="166"/>
      <c r="N133" s="18"/>
      <c r="P133" s="41"/>
      <c r="Q133" s="41"/>
      <c r="R133" s="41"/>
      <c r="S133" s="41"/>
    </row>
    <row r="134" spans="1:19" s="19" customFormat="1" ht="15.75" hidden="1">
      <c r="A134" s="23" t="s">
        <v>212</v>
      </c>
      <c r="B134" s="16" t="s">
        <v>213</v>
      </c>
      <c r="C134" s="17">
        <f>2013300000+100000000</f>
        <v>2113300000</v>
      </c>
      <c r="D134" s="17"/>
      <c r="E134" s="17"/>
      <c r="F134" s="17"/>
      <c r="G134" s="17"/>
      <c r="H134" s="17"/>
      <c r="I134" s="24"/>
      <c r="J134" s="182"/>
      <c r="K134" s="33">
        <f t="shared" si="12"/>
        <v>2113300000</v>
      </c>
      <c r="L134" s="18"/>
      <c r="M134" s="166">
        <f t="shared" si="7"/>
        <v>2113300000</v>
      </c>
      <c r="N134" s="168">
        <v>2025000000</v>
      </c>
      <c r="P134" s="16"/>
      <c r="Q134" s="16"/>
      <c r="R134" s="16"/>
      <c r="S134" s="16"/>
    </row>
    <row r="135" spans="1:19" s="19" customFormat="1" ht="15.75" hidden="1">
      <c r="A135" s="23" t="s">
        <v>214</v>
      </c>
      <c r="B135" s="16" t="s">
        <v>215</v>
      </c>
      <c r="C135" s="17">
        <f>2767054000+715781639+137822821</f>
        <v>3620658460</v>
      </c>
      <c r="D135" s="17"/>
      <c r="E135" s="17"/>
      <c r="F135" s="17"/>
      <c r="G135" s="17"/>
      <c r="H135" s="17"/>
      <c r="I135" s="24"/>
      <c r="J135" s="182"/>
      <c r="K135" s="33">
        <f t="shared" si="12"/>
        <v>3620658460</v>
      </c>
      <c r="L135" s="33">
        <v>826960450</v>
      </c>
      <c r="M135" s="166">
        <f t="shared" si="7"/>
        <v>4447618910</v>
      </c>
      <c r="N135" s="168">
        <v>3291350722</v>
      </c>
      <c r="O135" s="78"/>
      <c r="P135" s="16"/>
      <c r="Q135" s="16"/>
      <c r="R135" s="16"/>
      <c r="S135" s="16"/>
    </row>
    <row r="136" spans="1:19" s="19" customFormat="1" ht="15.75" hidden="1">
      <c r="A136" s="28" t="s">
        <v>437</v>
      </c>
      <c r="B136" s="28" t="s">
        <v>438</v>
      </c>
      <c r="C136" s="17"/>
      <c r="D136" s="17"/>
      <c r="E136" s="17"/>
      <c r="F136" s="17"/>
      <c r="G136" s="17"/>
      <c r="H136" s="17"/>
      <c r="I136" s="167">
        <f>+I137</f>
        <v>87000000</v>
      </c>
      <c r="J136" s="187"/>
      <c r="K136" s="102">
        <f>SUM(C136:I136)</f>
        <v>87000000</v>
      </c>
      <c r="L136" s="33"/>
      <c r="M136" s="166"/>
      <c r="N136" s="168"/>
      <c r="O136" s="78"/>
      <c r="P136" s="16"/>
      <c r="Q136" s="16"/>
      <c r="R136" s="16"/>
      <c r="S136" s="16"/>
    </row>
    <row r="137" spans="1:19" s="19" customFormat="1" ht="15.75" hidden="1">
      <c r="A137" s="24" t="s">
        <v>439</v>
      </c>
      <c r="B137" s="24" t="s">
        <v>440</v>
      </c>
      <c r="C137" s="17"/>
      <c r="D137" s="17"/>
      <c r="E137" s="17"/>
      <c r="F137" s="17"/>
      <c r="G137" s="17"/>
      <c r="H137" s="17"/>
      <c r="I137" s="174">
        <v>87000000</v>
      </c>
      <c r="J137" s="192"/>
      <c r="K137" s="33">
        <f t="shared" si="12"/>
        <v>87000000</v>
      </c>
      <c r="L137" s="33"/>
      <c r="M137" s="166"/>
      <c r="N137" s="168"/>
      <c r="O137" s="78"/>
      <c r="P137" s="16"/>
      <c r="Q137" s="16"/>
      <c r="R137" s="16"/>
      <c r="S137" s="16"/>
    </row>
    <row r="138" spans="1:19" s="13" customFormat="1" ht="15.75" hidden="1">
      <c r="A138" s="22" t="s">
        <v>146</v>
      </c>
      <c r="B138" s="20" t="s">
        <v>135</v>
      </c>
      <c r="C138" s="167">
        <f>SUM(C139)</f>
        <v>5000000</v>
      </c>
      <c r="D138" s="167"/>
      <c r="E138" s="167">
        <f>SUM(E139)</f>
        <v>0</v>
      </c>
      <c r="F138" s="167"/>
      <c r="G138" s="167">
        <f>SUM(G139)</f>
        <v>2000000</v>
      </c>
      <c r="H138" s="167"/>
      <c r="I138" s="167">
        <f>SUM(I139)</f>
        <v>0</v>
      </c>
      <c r="J138" s="187"/>
      <c r="K138" s="102">
        <f>SUM(C138:I138)</f>
        <v>7000000</v>
      </c>
      <c r="L138" s="14">
        <f>SUM(L139)</f>
        <v>0</v>
      </c>
      <c r="M138" s="166">
        <f t="shared" si="7"/>
        <v>7000000</v>
      </c>
      <c r="N138" s="14">
        <f>SUM(N139)</f>
        <v>5780000</v>
      </c>
      <c r="O138" s="34"/>
      <c r="P138" s="20"/>
      <c r="Q138" s="20"/>
      <c r="R138" s="20"/>
      <c r="S138" s="20"/>
    </row>
    <row r="139" spans="1:19" s="19" customFormat="1" ht="15.75">
      <c r="A139" s="16" t="s">
        <v>136</v>
      </c>
      <c r="B139" s="182" t="s">
        <v>137</v>
      </c>
      <c r="C139" s="17">
        <v>5000000</v>
      </c>
      <c r="D139" s="183">
        <f>C139*4%+C139</f>
        <v>5200000</v>
      </c>
      <c r="E139" s="17"/>
      <c r="F139" s="17"/>
      <c r="G139" s="17">
        <v>2000000</v>
      </c>
      <c r="H139" s="183">
        <f>G139*4%+G139</f>
        <v>2080000</v>
      </c>
      <c r="I139" s="24"/>
      <c r="J139" s="182"/>
      <c r="K139" s="33">
        <f t="shared" si="12"/>
        <v>14280000</v>
      </c>
      <c r="L139" s="18"/>
      <c r="M139" s="166">
        <f t="shared" si="7"/>
        <v>14280000</v>
      </c>
      <c r="N139" s="18">
        <v>5780000</v>
      </c>
      <c r="O139" s="34"/>
      <c r="P139" s="107">
        <v>5200000</v>
      </c>
      <c r="Q139" s="16"/>
      <c r="R139" s="107">
        <v>1744354</v>
      </c>
      <c r="S139" s="16"/>
    </row>
    <row r="140" spans="1:15" s="13" customFormat="1" ht="15.75" hidden="1">
      <c r="A140" s="22" t="s">
        <v>145</v>
      </c>
      <c r="B140" s="20" t="s">
        <v>138</v>
      </c>
      <c r="C140" s="54">
        <f>SUM(C141:C142)</f>
        <v>247561582</v>
      </c>
      <c r="D140" s="54"/>
      <c r="E140" s="54">
        <f>SUM(E141:E142)</f>
        <v>11974480</v>
      </c>
      <c r="F140" s="54"/>
      <c r="G140" s="167">
        <f>SUM(G141:G142)</f>
        <v>29736249</v>
      </c>
      <c r="H140" s="167"/>
      <c r="I140" s="54">
        <f>SUM(I141:I142)</f>
        <v>0</v>
      </c>
      <c r="J140" s="54"/>
      <c r="K140" s="102">
        <f>SUM(C140:I140)</f>
        <v>289272311</v>
      </c>
      <c r="L140" s="14">
        <f>SUM(L141:L142)</f>
        <v>0</v>
      </c>
      <c r="M140" s="166">
        <f t="shared" si="7"/>
        <v>289272311</v>
      </c>
      <c r="N140" s="14">
        <f>SUM(N141:N142)</f>
        <v>375000000</v>
      </c>
      <c r="O140" s="87"/>
    </row>
    <row r="141" spans="1:15" s="19" customFormat="1" ht="15.75" hidden="1">
      <c r="A141" s="16" t="s">
        <v>139</v>
      </c>
      <c r="B141" s="24" t="s">
        <v>8</v>
      </c>
      <c r="C141" s="17">
        <v>208744082</v>
      </c>
      <c r="D141" s="17"/>
      <c r="E141" s="17"/>
      <c r="F141" s="17"/>
      <c r="G141" s="17"/>
      <c r="H141" s="17"/>
      <c r="I141" s="24"/>
      <c r="J141" s="24"/>
      <c r="K141" s="33">
        <f t="shared" si="12"/>
        <v>208744082</v>
      </c>
      <c r="L141" s="18"/>
      <c r="M141" s="166">
        <f t="shared" si="7"/>
        <v>208744082</v>
      </c>
      <c r="N141" s="18">
        <v>300000000</v>
      </c>
      <c r="O141" s="78"/>
    </row>
    <row r="142" spans="1:14" ht="15.75" hidden="1">
      <c r="A142" s="16" t="s">
        <v>189</v>
      </c>
      <c r="B142" s="24" t="s">
        <v>190</v>
      </c>
      <c r="C142" s="17">
        <v>38817500</v>
      </c>
      <c r="D142" s="17"/>
      <c r="E142" s="17">
        <v>11974480</v>
      </c>
      <c r="F142" s="17"/>
      <c r="G142" s="17">
        <v>29736249</v>
      </c>
      <c r="H142" s="17"/>
      <c r="I142" s="173"/>
      <c r="J142" s="173"/>
      <c r="K142" s="33">
        <f t="shared" si="12"/>
        <v>80528229</v>
      </c>
      <c r="L142" s="18"/>
      <c r="M142" s="166">
        <f t="shared" si="7"/>
        <v>80528229</v>
      </c>
      <c r="N142" s="18">
        <v>75000000</v>
      </c>
    </row>
    <row r="143" spans="1:14" s="13" customFormat="1" ht="15.75" hidden="1">
      <c r="A143" s="20" t="s">
        <v>185</v>
      </c>
      <c r="B143" s="26" t="s">
        <v>186</v>
      </c>
      <c r="C143" s="54">
        <f>SUM(C144)</f>
        <v>105932685</v>
      </c>
      <c r="D143" s="54"/>
      <c r="E143" s="54">
        <f>SUM(E144)</f>
        <v>0</v>
      </c>
      <c r="F143" s="54"/>
      <c r="G143" s="167">
        <f>SUM(G144)</f>
        <v>0</v>
      </c>
      <c r="H143" s="167"/>
      <c r="I143" s="54">
        <f>SUM(I144)</f>
        <v>0</v>
      </c>
      <c r="J143" s="54"/>
      <c r="K143" s="102">
        <f>SUM(C143:I143)</f>
        <v>105932685</v>
      </c>
      <c r="L143" s="14">
        <f>SUM(L144)</f>
        <v>0</v>
      </c>
      <c r="M143" s="166">
        <f t="shared" si="7"/>
        <v>105932685</v>
      </c>
      <c r="N143" s="14">
        <f>SUM(N144)</f>
        <v>100000000</v>
      </c>
    </row>
    <row r="144" spans="1:14" s="19" customFormat="1" ht="15.75" hidden="1">
      <c r="A144" s="16" t="s">
        <v>187</v>
      </c>
      <c r="B144" s="24" t="s">
        <v>188</v>
      </c>
      <c r="C144" s="17">
        <v>105932685</v>
      </c>
      <c r="D144" s="17"/>
      <c r="E144" s="17"/>
      <c r="F144" s="17"/>
      <c r="G144" s="17"/>
      <c r="H144" s="17"/>
      <c r="I144" s="24"/>
      <c r="J144" s="24"/>
      <c r="K144" s="33">
        <f t="shared" si="12"/>
        <v>105932685</v>
      </c>
      <c r="L144" s="17"/>
      <c r="M144" s="166">
        <f t="shared" si="7"/>
        <v>105932685</v>
      </c>
      <c r="N144" s="168">
        <v>100000000</v>
      </c>
    </row>
    <row r="145" spans="1:14" s="13" customFormat="1" ht="15.75" hidden="1">
      <c r="A145" s="20" t="s">
        <v>140</v>
      </c>
      <c r="B145" s="20" t="s">
        <v>141</v>
      </c>
      <c r="C145" s="167">
        <f>SUM(K146:K151)</f>
        <v>222921011.99610996</v>
      </c>
      <c r="D145" s="167"/>
      <c r="E145" s="167">
        <f>SUM(E146:E151)</f>
        <v>0</v>
      </c>
      <c r="F145" s="167"/>
      <c r="G145" s="167">
        <f>SUM(G146:G151)</f>
        <v>0</v>
      </c>
      <c r="H145" s="167"/>
      <c r="I145" s="167">
        <f>SUM(I146:I151)</f>
        <v>0</v>
      </c>
      <c r="J145" s="167"/>
      <c r="K145" s="102">
        <f>SUM(C145:I145)</f>
        <v>222921011.99610996</v>
      </c>
      <c r="L145" s="14">
        <f>SUM(L146:L151)</f>
        <v>0</v>
      </c>
      <c r="M145" s="166">
        <f t="shared" si="7"/>
        <v>222921011.99610996</v>
      </c>
      <c r="N145" s="14">
        <f>SUM(N146:N151)</f>
        <v>120594011</v>
      </c>
    </row>
    <row r="146" spans="1:14" s="19" customFormat="1" ht="15.75" hidden="1">
      <c r="A146" s="16" t="s">
        <v>201</v>
      </c>
      <c r="B146" s="16" t="s">
        <v>202</v>
      </c>
      <c r="C146" s="46">
        <f>8505*505</f>
        <v>4295025</v>
      </c>
      <c r="D146" s="46"/>
      <c r="E146" s="17"/>
      <c r="F146" s="17"/>
      <c r="G146" s="46"/>
      <c r="H146" s="46"/>
      <c r="I146" s="24"/>
      <c r="J146" s="24"/>
      <c r="K146" s="33">
        <f t="shared" si="12"/>
        <v>4295025</v>
      </c>
      <c r="L146" s="18"/>
      <c r="M146" s="166">
        <f t="shared" si="7"/>
        <v>4295025</v>
      </c>
      <c r="N146" s="18">
        <v>4422600</v>
      </c>
    </row>
    <row r="147" spans="1:14" s="19" customFormat="1" ht="15.75" hidden="1">
      <c r="A147" s="16" t="s">
        <v>259</v>
      </c>
      <c r="B147" s="16" t="s">
        <v>260</v>
      </c>
      <c r="C147" s="46">
        <f>24907.74*505+0.3</f>
        <v>12578409.000000002</v>
      </c>
      <c r="D147" s="46"/>
      <c r="E147" s="17"/>
      <c r="F147" s="17"/>
      <c r="G147" s="24"/>
      <c r="H147" s="24"/>
      <c r="I147" s="24"/>
      <c r="J147" s="24"/>
      <c r="K147" s="33">
        <f aca="true" t="shared" si="13" ref="K147:K160">SUM(C147:I147)</f>
        <v>12578409.000000002</v>
      </c>
      <c r="L147" s="18"/>
      <c r="M147" s="166">
        <f t="shared" si="7"/>
        <v>12578409.000000002</v>
      </c>
      <c r="N147" s="18">
        <v>12193454</v>
      </c>
    </row>
    <row r="148" spans="1:14" s="19" customFormat="1" ht="15.75" hidden="1">
      <c r="A148" s="16" t="s">
        <v>199</v>
      </c>
      <c r="B148" s="23" t="s">
        <v>200</v>
      </c>
      <c r="C148" s="17">
        <f>(84328.33*505)+(129672.26*1.2947*505)+0.46</f>
        <v>127368577.99610998</v>
      </c>
      <c r="D148" s="179"/>
      <c r="E148" s="175"/>
      <c r="F148" s="175"/>
      <c r="G148" s="24"/>
      <c r="H148" s="24"/>
      <c r="I148" s="24"/>
      <c r="J148" s="24"/>
      <c r="K148" s="33">
        <f t="shared" si="13"/>
        <v>127368577.99610998</v>
      </c>
      <c r="L148" s="18"/>
      <c r="M148" s="166">
        <f aca="true" t="shared" si="14" ref="M148:M166">SUM(K148:L148)</f>
        <v>127368577.99610998</v>
      </c>
      <c r="N148" s="18">
        <v>28577957</v>
      </c>
    </row>
    <row r="149" spans="1:14" s="19" customFormat="1" ht="15.75" hidden="1">
      <c r="A149" s="16" t="s">
        <v>203</v>
      </c>
      <c r="B149" s="16" t="s">
        <v>204</v>
      </c>
      <c r="C149" s="46">
        <f>50000*505</f>
        <v>25250000</v>
      </c>
      <c r="D149" s="46"/>
      <c r="E149" s="17"/>
      <c r="F149" s="17"/>
      <c r="G149" s="24"/>
      <c r="H149" s="24"/>
      <c r="I149" s="24"/>
      <c r="J149" s="24"/>
      <c r="K149" s="33">
        <f t="shared" si="13"/>
        <v>25250000</v>
      </c>
      <c r="L149" s="18"/>
      <c r="M149" s="166">
        <f t="shared" si="14"/>
        <v>25250000</v>
      </c>
      <c r="N149" s="18">
        <v>26000000</v>
      </c>
    </row>
    <row r="150" spans="1:14" s="19" customFormat="1" ht="15.75" hidden="1">
      <c r="A150" s="16" t="s">
        <v>205</v>
      </c>
      <c r="B150" s="16" t="s">
        <v>246</v>
      </c>
      <c r="C150" s="46">
        <f>45000*505</f>
        <v>22725000</v>
      </c>
      <c r="D150" s="46"/>
      <c r="E150" s="17"/>
      <c r="F150" s="17"/>
      <c r="G150" s="24"/>
      <c r="H150" s="24"/>
      <c r="I150" s="24"/>
      <c r="J150" s="24"/>
      <c r="K150" s="33">
        <f t="shared" si="13"/>
        <v>22725000</v>
      </c>
      <c r="L150" s="18"/>
      <c r="M150" s="166">
        <f t="shared" si="14"/>
        <v>22725000</v>
      </c>
      <c r="N150" s="18">
        <v>23400000</v>
      </c>
    </row>
    <row r="151" spans="1:14" s="19" customFormat="1" ht="15.75" hidden="1">
      <c r="A151" s="16" t="s">
        <v>206</v>
      </c>
      <c r="B151" s="16" t="s">
        <v>207</v>
      </c>
      <c r="C151" s="46">
        <f>60800*505</f>
        <v>30704000</v>
      </c>
      <c r="D151" s="46"/>
      <c r="E151" s="17"/>
      <c r="F151" s="17"/>
      <c r="G151" s="24"/>
      <c r="H151" s="24"/>
      <c r="I151" s="24"/>
      <c r="J151" s="24"/>
      <c r="K151" s="33">
        <f t="shared" si="13"/>
        <v>30704000</v>
      </c>
      <c r="L151" s="18"/>
      <c r="M151" s="166">
        <f t="shared" si="14"/>
        <v>30704000</v>
      </c>
      <c r="N151" s="18">
        <v>26000000</v>
      </c>
    </row>
    <row r="152" spans="1:14" s="4" customFormat="1" ht="15.75" hidden="1">
      <c r="A152" s="8">
        <v>7</v>
      </c>
      <c r="B152" s="21" t="s">
        <v>142</v>
      </c>
      <c r="C152" s="10">
        <f>SUM(C153:C162)</f>
        <v>45500000</v>
      </c>
      <c r="D152" s="10"/>
      <c r="E152" s="10">
        <f>SUM(E153:E162)</f>
        <v>0</v>
      </c>
      <c r="F152" s="10"/>
      <c r="G152" s="10">
        <f>SUM(G153:G162)</f>
        <v>3168300000</v>
      </c>
      <c r="H152" s="10"/>
      <c r="I152" s="10">
        <f>SUM(I153:I162)</f>
        <v>48500000</v>
      </c>
      <c r="J152" s="10"/>
      <c r="K152" s="102">
        <f t="shared" si="13"/>
        <v>3262300000</v>
      </c>
      <c r="L152" s="11">
        <f>SUM(L153:L160)</f>
        <v>3000000000</v>
      </c>
      <c r="M152" s="166">
        <f t="shared" si="14"/>
        <v>6262300000</v>
      </c>
      <c r="N152" s="11">
        <f>SUM(N153:N160)</f>
        <v>3000000000</v>
      </c>
    </row>
    <row r="153" spans="1:14" s="4" customFormat="1" ht="15.75" hidden="1">
      <c r="A153" s="23" t="s">
        <v>248</v>
      </c>
      <c r="B153" s="16" t="s">
        <v>249</v>
      </c>
      <c r="C153" s="17"/>
      <c r="D153" s="17"/>
      <c r="E153" s="17"/>
      <c r="F153" s="17"/>
      <c r="G153" s="17">
        <v>252000000</v>
      </c>
      <c r="H153" s="17"/>
      <c r="I153" s="40"/>
      <c r="J153" s="40"/>
      <c r="K153" s="33">
        <f t="shared" si="13"/>
        <v>252000000</v>
      </c>
      <c r="L153" s="18">
        <v>700000000</v>
      </c>
      <c r="M153" s="166">
        <f t="shared" si="14"/>
        <v>952000000</v>
      </c>
      <c r="N153" s="18">
        <v>700000000</v>
      </c>
    </row>
    <row r="154" spans="1:14" s="4" customFormat="1" ht="15.75" hidden="1">
      <c r="A154" s="23" t="s">
        <v>282</v>
      </c>
      <c r="B154" s="16"/>
      <c r="C154" s="17"/>
      <c r="D154" s="17"/>
      <c r="E154" s="17"/>
      <c r="F154" s="17"/>
      <c r="G154" s="17">
        <v>216300000</v>
      </c>
      <c r="H154" s="17"/>
      <c r="I154" s="40"/>
      <c r="J154" s="40"/>
      <c r="K154" s="33">
        <f t="shared" si="13"/>
        <v>216300000</v>
      </c>
      <c r="L154" s="18"/>
      <c r="M154" s="166"/>
      <c r="N154" s="18"/>
    </row>
    <row r="155" spans="1:14" s="4" customFormat="1" ht="15.75" hidden="1">
      <c r="A155" s="27" t="s">
        <v>255</v>
      </c>
      <c r="B155" s="24" t="s">
        <v>441</v>
      </c>
      <c r="C155" s="17"/>
      <c r="D155" s="17"/>
      <c r="E155" s="17"/>
      <c r="F155" s="17"/>
      <c r="G155" s="17">
        <v>2400000000</v>
      </c>
      <c r="H155" s="17"/>
      <c r="I155" s="40"/>
      <c r="J155" s="40"/>
      <c r="K155" s="33">
        <f t="shared" si="13"/>
        <v>2400000000</v>
      </c>
      <c r="L155" s="69">
        <v>2000000000</v>
      </c>
      <c r="M155" s="166">
        <f t="shared" si="14"/>
        <v>4400000000</v>
      </c>
      <c r="N155" s="176">
        <v>2000000000</v>
      </c>
    </row>
    <row r="156" spans="1:14" s="4" customFormat="1" ht="15.75" hidden="1">
      <c r="A156" s="27"/>
      <c r="B156" s="24" t="s">
        <v>280</v>
      </c>
      <c r="C156" s="17"/>
      <c r="D156" s="17"/>
      <c r="E156" s="17"/>
      <c r="F156" s="179"/>
      <c r="G156" s="36"/>
      <c r="H156" s="36"/>
      <c r="I156" s="40"/>
      <c r="J156" s="40"/>
      <c r="K156" s="33">
        <f t="shared" si="13"/>
        <v>0</v>
      </c>
      <c r="L156" s="21"/>
      <c r="M156" s="166">
        <f t="shared" si="14"/>
        <v>0</v>
      </c>
      <c r="N156" s="11"/>
    </row>
    <row r="157" spans="1:14" s="36" customFormat="1" ht="15.75" hidden="1">
      <c r="A157" s="16" t="s">
        <v>442</v>
      </c>
      <c r="B157" s="16" t="s">
        <v>443</v>
      </c>
      <c r="C157" s="17"/>
      <c r="D157" s="17"/>
      <c r="E157" s="18"/>
      <c r="F157" s="18"/>
      <c r="G157" s="10"/>
      <c r="H157" s="10"/>
      <c r="I157" s="18">
        <v>48500000</v>
      </c>
      <c r="J157" s="18"/>
      <c r="K157" s="33">
        <f t="shared" si="13"/>
        <v>48500000</v>
      </c>
      <c r="L157" s="17"/>
      <c r="M157" s="166"/>
      <c r="N157" s="17"/>
    </row>
    <row r="158" spans="1:14" s="4" customFormat="1" ht="15.75" hidden="1">
      <c r="A158" s="27" t="s">
        <v>233</v>
      </c>
      <c r="B158" s="24" t="s">
        <v>444</v>
      </c>
      <c r="C158" s="17">
        <v>34700000</v>
      </c>
      <c r="D158" s="17"/>
      <c r="E158" s="17"/>
      <c r="F158" s="17"/>
      <c r="G158" s="40"/>
      <c r="H158" s="40"/>
      <c r="I158" s="40"/>
      <c r="J158" s="40"/>
      <c r="K158" s="33">
        <f t="shared" si="13"/>
        <v>34700000</v>
      </c>
      <c r="L158" s="21"/>
      <c r="M158" s="166"/>
      <c r="N158" s="11"/>
    </row>
    <row r="159" spans="1:14" s="4" customFormat="1" ht="15.75" hidden="1">
      <c r="A159" s="27" t="s">
        <v>236</v>
      </c>
      <c r="B159" s="24" t="s">
        <v>445</v>
      </c>
      <c r="C159" s="17">
        <v>10800000</v>
      </c>
      <c r="D159" s="17"/>
      <c r="E159" s="17"/>
      <c r="F159" s="17"/>
      <c r="G159" s="40"/>
      <c r="H159" s="40"/>
      <c r="I159" s="40"/>
      <c r="J159" s="40"/>
      <c r="K159" s="33">
        <f t="shared" si="13"/>
        <v>10800000</v>
      </c>
      <c r="L159" s="21"/>
      <c r="M159" s="166"/>
      <c r="N159" s="11"/>
    </row>
    <row r="160" spans="1:14" s="4" customFormat="1" ht="15.75" hidden="1">
      <c r="A160" s="16" t="s">
        <v>208</v>
      </c>
      <c r="B160" s="16" t="s">
        <v>209</v>
      </c>
      <c r="C160" s="40"/>
      <c r="D160" s="40"/>
      <c r="E160" s="17"/>
      <c r="F160" s="17"/>
      <c r="G160" s="17">
        <f>451000000-100000000-51000000</f>
        <v>300000000</v>
      </c>
      <c r="H160" s="17"/>
      <c r="I160" s="40"/>
      <c r="J160" s="40"/>
      <c r="K160" s="33">
        <f t="shared" si="13"/>
        <v>300000000</v>
      </c>
      <c r="L160" s="168">
        <v>300000000</v>
      </c>
      <c r="M160" s="166">
        <f t="shared" si="14"/>
        <v>600000000</v>
      </c>
      <c r="N160" s="176">
        <v>300000000</v>
      </c>
    </row>
    <row r="161" spans="1:14" s="4" customFormat="1" ht="15.75" hidden="1">
      <c r="A161" s="16" t="s">
        <v>233</v>
      </c>
      <c r="B161" s="16" t="s">
        <v>446</v>
      </c>
      <c r="C161" s="18"/>
      <c r="D161" s="18"/>
      <c r="E161" s="18"/>
      <c r="F161" s="18"/>
      <c r="G161" s="21"/>
      <c r="H161" s="21"/>
      <c r="I161" s="21"/>
      <c r="J161" s="21"/>
      <c r="K161" s="33">
        <f aca="true" t="shared" si="15" ref="K161:K166">SUM(C161:I161)</f>
        <v>0</v>
      </c>
      <c r="L161" s="21"/>
      <c r="M161" s="166">
        <f t="shared" si="14"/>
        <v>0</v>
      </c>
      <c r="N161" s="11"/>
    </row>
    <row r="162" spans="1:14" s="4" customFormat="1" ht="15.75" hidden="1">
      <c r="A162" s="16" t="s">
        <v>236</v>
      </c>
      <c r="B162" s="16" t="s">
        <v>447</v>
      </c>
      <c r="C162" s="18"/>
      <c r="D162" s="18"/>
      <c r="E162" s="18"/>
      <c r="F162" s="18"/>
      <c r="G162" s="21"/>
      <c r="H162" s="21"/>
      <c r="I162" s="21"/>
      <c r="J162" s="21"/>
      <c r="K162" s="33">
        <f t="shared" si="15"/>
        <v>0</v>
      </c>
      <c r="L162" s="21"/>
      <c r="M162" s="166">
        <f t="shared" si="14"/>
        <v>0</v>
      </c>
      <c r="N162" s="11"/>
    </row>
    <row r="163" spans="1:14" s="4" customFormat="1" ht="15.75" hidden="1">
      <c r="A163" s="8">
        <v>8</v>
      </c>
      <c r="B163" s="21" t="s">
        <v>143</v>
      </c>
      <c r="C163" s="11">
        <f>SUM(C164)</f>
        <v>160071757</v>
      </c>
      <c r="D163" s="11"/>
      <c r="E163" s="11">
        <f>SUM(E164)</f>
        <v>0</v>
      </c>
      <c r="F163" s="11"/>
      <c r="G163" s="11">
        <f>SUM(G164)</f>
        <v>0</v>
      </c>
      <c r="H163" s="11"/>
      <c r="I163" s="11">
        <f>SUM(I164)</f>
        <v>0</v>
      </c>
      <c r="J163" s="11"/>
      <c r="K163" s="11">
        <f t="shared" si="15"/>
        <v>160071757</v>
      </c>
      <c r="L163" s="11">
        <f>SUM(L164)</f>
        <v>0</v>
      </c>
      <c r="M163" s="166">
        <f t="shared" si="14"/>
        <v>160071757</v>
      </c>
      <c r="N163" s="11">
        <f>SUM(N164)</f>
        <v>153032272</v>
      </c>
    </row>
    <row r="164" spans="1:14" s="19" customFormat="1" ht="15.75" hidden="1">
      <c r="A164" s="16" t="s">
        <v>197</v>
      </c>
      <c r="B164" s="16" t="s">
        <v>144</v>
      </c>
      <c r="C164" s="46">
        <v>160071757</v>
      </c>
      <c r="D164" s="46"/>
      <c r="E164" s="18"/>
      <c r="F164" s="18"/>
      <c r="G164" s="16"/>
      <c r="H164" s="16"/>
      <c r="I164" s="16"/>
      <c r="J164" s="16"/>
      <c r="K164" s="33">
        <f t="shared" si="15"/>
        <v>160071757</v>
      </c>
      <c r="L164" s="18"/>
      <c r="M164" s="166">
        <f t="shared" si="14"/>
        <v>160071757</v>
      </c>
      <c r="N164" s="18">
        <v>153032272</v>
      </c>
    </row>
    <row r="165" spans="1:14" s="19" customFormat="1" ht="15.75" hidden="1">
      <c r="A165" s="8">
        <v>9</v>
      </c>
      <c r="B165" s="21" t="s">
        <v>448</v>
      </c>
      <c r="C165" s="42">
        <f>SUM(C166)</f>
        <v>0</v>
      </c>
      <c r="D165" s="42"/>
      <c r="E165" s="42">
        <f>SUM(E166)</f>
        <v>0</v>
      </c>
      <c r="F165" s="42"/>
      <c r="G165" s="42">
        <f>SUM(G166)</f>
        <v>0</v>
      </c>
      <c r="H165" s="42"/>
      <c r="I165" s="42">
        <f>SUM(I166)</f>
        <v>4684000</v>
      </c>
      <c r="J165" s="42"/>
      <c r="K165" s="42">
        <f t="shared" si="15"/>
        <v>4684000</v>
      </c>
      <c r="L165" s="11">
        <f>SUM(L166)</f>
        <v>0</v>
      </c>
      <c r="M165" s="166">
        <f t="shared" si="14"/>
        <v>4684000</v>
      </c>
      <c r="N165" s="11">
        <f>SUM(N166)</f>
        <v>212552000</v>
      </c>
    </row>
    <row r="166" spans="1:14" s="19" customFormat="1" ht="15.75" hidden="1">
      <c r="A166" s="16" t="s">
        <v>449</v>
      </c>
      <c r="B166" s="16" t="s">
        <v>450</v>
      </c>
      <c r="C166" s="18"/>
      <c r="D166" s="18"/>
      <c r="E166" s="18"/>
      <c r="F166" s="18"/>
      <c r="G166" s="16"/>
      <c r="H166" s="16"/>
      <c r="I166" s="18">
        <v>4684000</v>
      </c>
      <c r="J166" s="18"/>
      <c r="K166" s="33">
        <f t="shared" si="15"/>
        <v>4684000</v>
      </c>
      <c r="L166" s="18"/>
      <c r="M166" s="166">
        <f t="shared" si="14"/>
        <v>4684000</v>
      </c>
      <c r="N166" s="18">
        <v>212552000</v>
      </c>
    </row>
    <row r="167" spans="1:14" s="4" customFormat="1" ht="15.75" hidden="1">
      <c r="A167" s="21"/>
      <c r="B167" s="21" t="s">
        <v>9</v>
      </c>
      <c r="C167" s="11">
        <f>SUM(C165,C163,C152,C120,C107,C105,C76,C27,C7)</f>
        <v>24337048999.99611</v>
      </c>
      <c r="D167" s="11"/>
      <c r="E167" s="11">
        <f>SUM(E165,E163,E152,E120,E107,E105,E76,E27,E7)</f>
        <v>1050193000</v>
      </c>
      <c r="F167" s="11"/>
      <c r="G167" s="11">
        <f>SUM(G165,G163,G152,G120,G107,G105,G76,G27,G7)</f>
        <v>14962461000</v>
      </c>
      <c r="H167" s="11"/>
      <c r="I167" s="11">
        <f>SUM(I165,I163,I152,I136,I120,I107,I105,I76,I27,I7)</f>
        <v>324297000</v>
      </c>
      <c r="J167" s="11"/>
      <c r="K167" s="11">
        <f>SUM(K165,K163,K152,K136,K120,K107,K105,K76,K27,K7)</f>
        <v>40734503242.99611</v>
      </c>
      <c r="L167" s="11">
        <f>SUM(L165,L163,L152,L120,L107,L105,L76,L27,L7)</f>
        <v>3826960450</v>
      </c>
      <c r="M167" s="11"/>
      <c r="N167" s="11">
        <f>SUM(N165,N163,N152,N120,N107,N105,N76,N27,N7)</f>
        <v>38521042665</v>
      </c>
    </row>
    <row r="168" spans="1:15" s="162" customFormat="1" ht="16.5" customHeight="1">
      <c r="A168" s="48"/>
      <c r="B168" s="48"/>
      <c r="C168" s="177"/>
      <c r="D168" s="177"/>
      <c r="E168" s="177"/>
      <c r="F168" s="177"/>
      <c r="G168" s="227"/>
      <c r="H168" s="227"/>
      <c r="I168" s="227"/>
      <c r="J168" s="178"/>
      <c r="K168" s="179"/>
      <c r="O168" s="4"/>
    </row>
    <row r="169" spans="1:18" s="19" customFormat="1" ht="15.75">
      <c r="A169" s="36" t="s">
        <v>451</v>
      </c>
      <c r="B169" s="175"/>
      <c r="C169" s="34"/>
      <c r="D169" s="34"/>
      <c r="E169" s="34"/>
      <c r="F169" s="34"/>
      <c r="G169" s="34" t="s">
        <v>11</v>
      </c>
      <c r="H169" s="34"/>
      <c r="K169" s="180"/>
      <c r="L169" s="78"/>
      <c r="M169" s="78"/>
      <c r="P169" s="78">
        <f>P63-D63</f>
        <v>1475605.4400000004</v>
      </c>
      <c r="R169" s="78">
        <f>R40-H40</f>
        <v>440000</v>
      </c>
    </row>
    <row r="170" spans="3:11" s="19" customFormat="1" ht="15.75">
      <c r="C170" s="34"/>
      <c r="D170" s="34"/>
      <c r="E170" s="34"/>
      <c r="F170" s="34"/>
      <c r="G170" s="78"/>
      <c r="H170" s="78"/>
      <c r="K170" s="34"/>
    </row>
    <row r="171" spans="3:18" s="19" customFormat="1" ht="15.75">
      <c r="C171" s="34"/>
      <c r="D171" s="34"/>
      <c r="E171" s="34"/>
      <c r="F171" s="34"/>
      <c r="G171" s="78"/>
      <c r="H171" s="78"/>
      <c r="K171" s="196"/>
      <c r="R171" s="78">
        <f>R53-H53</f>
        <v>409965</v>
      </c>
    </row>
    <row r="172" spans="3:18" s="19" customFormat="1" ht="15.75">
      <c r="C172" s="34"/>
      <c r="D172" s="34"/>
      <c r="E172" s="34"/>
      <c r="F172" s="34"/>
      <c r="K172" s="197"/>
      <c r="R172" s="78">
        <f>R54-H54</f>
        <v>8771285</v>
      </c>
    </row>
    <row r="173" spans="3:6" s="19" customFormat="1" ht="15.75">
      <c r="C173" s="34"/>
      <c r="D173" s="34"/>
      <c r="E173" s="34"/>
      <c r="F173" s="34"/>
    </row>
    <row r="174" spans="3:11" s="19" customFormat="1" ht="15.75">
      <c r="C174" s="34"/>
      <c r="D174" s="34"/>
      <c r="E174" s="34"/>
      <c r="F174" s="34"/>
      <c r="K174" s="34"/>
    </row>
    <row r="175" spans="3:18" s="19" customFormat="1" ht="15.75">
      <c r="C175" s="34"/>
      <c r="D175" s="34"/>
      <c r="E175" s="34"/>
      <c r="F175" s="34"/>
      <c r="K175" s="34"/>
      <c r="R175" s="78">
        <f>R63-H63</f>
        <v>192000</v>
      </c>
    </row>
    <row r="176" spans="3:19" s="19" customFormat="1" ht="15.75">
      <c r="C176" s="34"/>
      <c r="D176" s="34"/>
      <c r="E176" s="34"/>
      <c r="F176" s="34"/>
      <c r="K176" s="78"/>
      <c r="R176" s="78">
        <f>R84-H84</f>
        <v>1324819.2799999998</v>
      </c>
      <c r="S176" s="78">
        <f>S84-J84</f>
        <v>700000</v>
      </c>
    </row>
    <row r="177" spans="3:18" s="19" customFormat="1" ht="15.75">
      <c r="C177" s="34"/>
      <c r="D177" s="34"/>
      <c r="E177" s="34"/>
      <c r="F177" s="34"/>
      <c r="R177" s="78">
        <f>R100-H100</f>
        <v>745906</v>
      </c>
    </row>
    <row r="178" spans="3:18" s="19" customFormat="1" ht="15.75">
      <c r="C178" s="34"/>
      <c r="D178" s="34"/>
      <c r="E178" s="34"/>
      <c r="F178" s="34"/>
      <c r="R178" s="78">
        <f>SUM(R169:R177)</f>
        <v>11883975.28</v>
      </c>
    </row>
    <row r="179" spans="3:11" s="19" customFormat="1" ht="15.75">
      <c r="C179" s="34"/>
      <c r="D179" s="34"/>
      <c r="E179" s="34"/>
      <c r="F179" s="34"/>
      <c r="K179" s="34"/>
    </row>
    <row r="180" spans="3:11" s="19" customFormat="1" ht="15.75">
      <c r="C180" s="34"/>
      <c r="D180" s="34"/>
      <c r="E180" s="34"/>
      <c r="F180" s="34"/>
      <c r="K180" s="34"/>
    </row>
    <row r="181" spans="3:11" s="19" customFormat="1" ht="15.75">
      <c r="C181" s="34"/>
      <c r="D181" s="34"/>
      <c r="E181" s="34"/>
      <c r="F181" s="34"/>
      <c r="K181" s="78"/>
    </row>
    <row r="200" ht="12.75"/>
    <row r="201" ht="12.75"/>
    <row r="202" ht="12.75"/>
    <row r="203" ht="12.75"/>
    <row r="205" ht="12.75"/>
    <row r="206" ht="12.75"/>
    <row r="258" ht="12.75"/>
    <row r="259" ht="12.75"/>
    <row r="260" ht="12.75"/>
    <row r="261" ht="12.75"/>
    <row r="273" ht="12.75"/>
    <row r="282" ht="12.75"/>
    <row r="283" ht="12.75"/>
    <row r="284" ht="12.75"/>
    <row r="285" ht="12.75"/>
  </sheetData>
  <sheetProtection/>
  <mergeCells count="18">
    <mergeCell ref="D5:D6"/>
    <mergeCell ref="F5:F6"/>
    <mergeCell ref="H5:H6"/>
    <mergeCell ref="J5:J6"/>
    <mergeCell ref="B4:J4"/>
    <mergeCell ref="L5:L6"/>
    <mergeCell ref="C5:C6"/>
    <mergeCell ref="E5:E6"/>
    <mergeCell ref="G168:I168"/>
    <mergeCell ref="P5:P6"/>
    <mergeCell ref="Q5:Q6"/>
    <mergeCell ref="R5:R6"/>
    <mergeCell ref="S5:S6"/>
    <mergeCell ref="I1:K1"/>
    <mergeCell ref="G5:G6"/>
    <mergeCell ref="I5:I6"/>
    <mergeCell ref="K5:K6"/>
    <mergeCell ref="P4:S4"/>
  </mergeCells>
  <printOptions/>
  <pageMargins left="0.7" right="0.7" top="0.75" bottom="0.75" header="0.3" footer="0.3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Grace Diaz</cp:lastModifiedBy>
  <cp:lastPrinted>2015-01-09T16:23:54Z</cp:lastPrinted>
  <dcterms:created xsi:type="dcterms:W3CDTF">1999-04-29T15:37:16Z</dcterms:created>
  <dcterms:modified xsi:type="dcterms:W3CDTF">2016-11-02T16:47:47Z</dcterms:modified>
  <cp:category/>
  <cp:version/>
  <cp:contentType/>
  <cp:contentStatus/>
</cp:coreProperties>
</file>